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1.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canales\Documents\"/>
    </mc:Choice>
  </mc:AlternateContent>
  <xr:revisionPtr revIDLastSave="0" documentId="8_{B807C83A-289C-4AD1-A139-C828A415131D}" xr6:coauthVersionLast="46" xr6:coauthVersionMax="46" xr10:uidLastSave="{00000000-0000-0000-0000-000000000000}"/>
  <bookViews>
    <workbookView xWindow="-120" yWindow="-120" windowWidth="29040" windowHeight="15225"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definedNames>
    <definedName name="_xlnm.Print_Area" localSheetId="9">'10'!$B$1:$H$26</definedName>
    <definedName name="_xlnm.Print_Area" localSheetId="10">'11'!$B$1:$J$36</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'20'!$A$1:$H$44</definedName>
    <definedName name="_xlnm.Print_Area" localSheetId="20">'21'!$B$1:$J$22</definedName>
    <definedName name="_xlnm.Print_Area" localSheetId="21">'22'!$B$1:$O$38</definedName>
    <definedName name="_xlnm.Print_Area" localSheetId="22">'23'!$B$1:$K$35</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'42'!$B$1:$G$40</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'56'!$A$1:$D$20</definedName>
    <definedName name="_xlnm.Print_Area" localSheetId="60">'57'!$B$1:$I$44</definedName>
    <definedName name="_xlnm.Print_Area" localSheetId="61">'58'!$A$1:$E$21</definedName>
    <definedName name="_xlnm.Print_Area" localSheetId="5">'6'!$B$1:$M$20</definedName>
    <definedName name="_xlnm.Print_Area" localSheetId="64">'61'!$A$1:$E$17</definedName>
    <definedName name="_xlnm.Print_Area" localSheetId="6">'7'!$B$1:$H$38</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'11'!$A$1:$K$36</definedName>
    <definedName name="Print_Area" localSheetId="11">'12'!$A$1:$F$38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'20'!$B$1:$H$46</definedName>
    <definedName name="Print_Area" localSheetId="21">'22'!$B$1:$O$33</definedName>
    <definedName name="Print_Area" localSheetId="22">'23'!$B$1:$L$30</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'31'!$A$1:$E$36</definedName>
    <definedName name="Print_Area" localSheetId="34">'32'!$A$1:$E$26</definedName>
    <definedName name="Print_Area" localSheetId="35">'33'!$A$1:$G$26</definedName>
    <definedName name="Print_Area" localSheetId="36">'34'!$B$1:$E$35</definedName>
    <definedName name="Print_Area" localSheetId="37">'35'!$B$1:$H$38</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'42'!$B$1:$G$44</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'48'!$A$1:$G$21</definedName>
    <definedName name="Print_Area" localSheetId="52">'49'!$B$1:$E$21</definedName>
    <definedName name="Print_Area" localSheetId="4">'5'!$A$1:$G$36</definedName>
    <definedName name="Print_Area" localSheetId="53">'50'!$B$1:$G$39</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'57'!$B$1:$I$43</definedName>
    <definedName name="Print_Area" localSheetId="61">'58'!$A$1:$E$1</definedName>
    <definedName name="Print_Area" localSheetId="62">'59'!$B$1:$H$21</definedName>
    <definedName name="Print_Area" localSheetId="5">'6'!$B$1:$L$21</definedName>
    <definedName name="Print_Area" localSheetId="6">'7'!$A$1:$E$38</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'11'!$B$1:$J$34</definedName>
    <definedName name="Z_5CDC6F58_B038_4A0E_A13D_C643B013E119_.wvu.PrintArea" localSheetId="11" hidden="1">'12'!$A$1:$F$37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'20'!$B$1:$G$42</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'35'!$B$1:$H$36</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'42'!$B$1:$G$40</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'48'!$B$1:$F$20</definedName>
    <definedName name="Z_5CDC6F58_B038_4A0E_A13D_C643B013E119_.wvu.PrintArea" localSheetId="4" hidden="1">'5'!$A$1:$G$33</definedName>
    <definedName name="Z_5CDC6F58_B038_4A0E_A13D_C643B013E119_.wvu.PrintArea" localSheetId="53" hidden="1">'50'!$B$1:$G$37</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'57'!$B$1:$I$39</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oncurrentCalc="0"/>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7" l="1"/>
  <c r="P21" i="7"/>
  <c r="Q21" i="7"/>
  <c r="G13" i="41"/>
  <c r="G14" i="41"/>
  <c r="J38" i="89"/>
  <c r="G39" i="89"/>
  <c r="H39" i="89"/>
  <c r="I39" i="89"/>
  <c r="J39" i="89"/>
  <c r="K39" i="89"/>
  <c r="L39" i="89"/>
  <c r="F39" i="89"/>
  <c r="E39" i="89"/>
  <c r="C39" i="89"/>
  <c r="M8" i="65"/>
  <c r="K9" i="7"/>
  <c r="K9" i="27"/>
  <c r="K9" i="3"/>
  <c r="F12" i="62"/>
  <c r="D18" i="62"/>
  <c r="D12" i="62"/>
  <c r="E17" i="47"/>
  <c r="K4" i="89"/>
  <c r="K5" i="89"/>
  <c r="K6" i="89"/>
  <c r="K7" i="89"/>
  <c r="K8" i="89"/>
  <c r="K9" i="89"/>
  <c r="K10" i="89"/>
  <c r="K11" i="89"/>
  <c r="K12" i="89"/>
  <c r="K13" i="89"/>
  <c r="K14" i="89"/>
  <c r="K15" i="89"/>
  <c r="K16" i="89"/>
  <c r="K17" i="89"/>
  <c r="K18" i="89"/>
  <c r="K19" i="89"/>
  <c r="K20" i="89"/>
  <c r="K21" i="89"/>
  <c r="K22" i="89"/>
  <c r="K23" i="89"/>
  <c r="K24" i="89"/>
  <c r="K25" i="89"/>
  <c r="K26" i="89"/>
  <c r="K27" i="89"/>
  <c r="K28" i="89"/>
  <c r="K29" i="89"/>
  <c r="K30" i="89"/>
  <c r="K31" i="89"/>
  <c r="K32" i="89"/>
  <c r="K33" i="89"/>
  <c r="K34" i="89"/>
  <c r="K35" i="89"/>
  <c r="K36" i="89"/>
  <c r="K37" i="89"/>
  <c r="L4" i="89"/>
  <c r="L5" i="89"/>
  <c r="L6" i="89"/>
  <c r="L7" i="89"/>
  <c r="L8" i="89"/>
  <c r="L9" i="89"/>
  <c r="L10" i="89"/>
  <c r="L11" i="89"/>
  <c r="L12" i="89"/>
  <c r="L13" i="89"/>
  <c r="L14" i="89"/>
  <c r="L15" i="89"/>
  <c r="L16" i="89"/>
  <c r="L17" i="89"/>
  <c r="L18" i="89"/>
  <c r="L19" i="89"/>
  <c r="L20" i="89"/>
  <c r="L21" i="89"/>
  <c r="L22" i="89"/>
  <c r="L23" i="89"/>
  <c r="L24" i="89"/>
  <c r="L25" i="89"/>
  <c r="L26" i="89"/>
  <c r="L27" i="89"/>
  <c r="L28" i="89"/>
  <c r="L29" i="89"/>
  <c r="L30" i="89"/>
  <c r="L31" i="89"/>
  <c r="L32" i="89"/>
  <c r="L33" i="89"/>
  <c r="L34" i="89"/>
  <c r="L35" i="89"/>
  <c r="L36" i="89"/>
  <c r="L37" i="89"/>
  <c r="L38" i="89"/>
  <c r="L3" i="89"/>
  <c r="K3" i="89"/>
  <c r="I4" i="89"/>
  <c r="J4" i="89"/>
  <c r="P4" i="89"/>
  <c r="I5" i="89"/>
  <c r="J5" i="89"/>
  <c r="I6" i="89"/>
  <c r="J6" i="89"/>
  <c r="I7" i="89"/>
  <c r="J7" i="89"/>
  <c r="I8" i="89"/>
  <c r="J8" i="89"/>
  <c r="I9" i="89"/>
  <c r="J9" i="89"/>
  <c r="I10" i="89"/>
  <c r="J10" i="89"/>
  <c r="I11" i="89"/>
  <c r="J11" i="89"/>
  <c r="I12" i="89"/>
  <c r="J12" i="89"/>
  <c r="I13" i="89"/>
  <c r="J13" i="89"/>
  <c r="I14" i="89"/>
  <c r="J14" i="89"/>
  <c r="I15" i="89"/>
  <c r="J15" i="89"/>
  <c r="I16" i="89"/>
  <c r="J16" i="89"/>
  <c r="I17" i="89"/>
  <c r="J17" i="89"/>
  <c r="I18" i="89"/>
  <c r="J18" i="89"/>
  <c r="I19" i="89"/>
  <c r="J19" i="89"/>
  <c r="I20" i="89"/>
  <c r="J20" i="89"/>
  <c r="I21" i="89"/>
  <c r="J21" i="89"/>
  <c r="I22" i="89"/>
  <c r="J22" i="89"/>
  <c r="I23" i="89"/>
  <c r="J23" i="89"/>
  <c r="I24" i="89"/>
  <c r="J24" i="89"/>
  <c r="I25" i="89"/>
  <c r="J25" i="89"/>
  <c r="I26" i="89"/>
  <c r="J26" i="89"/>
  <c r="I27" i="89"/>
  <c r="J27" i="89"/>
  <c r="I28" i="89"/>
  <c r="J28" i="89"/>
  <c r="I29" i="89"/>
  <c r="J29" i="89"/>
  <c r="I30" i="89"/>
  <c r="J30" i="89"/>
  <c r="I31" i="89"/>
  <c r="J31" i="89"/>
  <c r="I32" i="89"/>
  <c r="J32" i="89"/>
  <c r="I33" i="89"/>
  <c r="J33" i="89"/>
  <c r="I34" i="89"/>
  <c r="J34" i="89"/>
  <c r="I35" i="89"/>
  <c r="J35" i="89"/>
  <c r="I36" i="89"/>
  <c r="J36" i="89"/>
  <c r="I37" i="89"/>
  <c r="J37" i="89"/>
  <c r="J3" i="89"/>
  <c r="I3" i="89"/>
  <c r="H38" i="89"/>
  <c r="G38" i="89"/>
  <c r="F38" i="89"/>
  <c r="C38" i="89"/>
  <c r="E38" i="89"/>
  <c r="I38" i="89"/>
  <c r="O3" i="89"/>
  <c r="O4" i="89"/>
  <c r="P3" i="89"/>
  <c r="Q3" i="89"/>
  <c r="Q4" i="89"/>
  <c r="Q5" i="89"/>
  <c r="Q6" i="89"/>
  <c r="Q7" i="89"/>
  <c r="Q8" i="89"/>
  <c r="Q9" i="89"/>
  <c r="Q10" i="89"/>
  <c r="Q11" i="89"/>
  <c r="Q12" i="89"/>
  <c r="Q13" i="89"/>
  <c r="R3" i="89"/>
  <c r="R4" i="89"/>
  <c r="R5" i="89"/>
  <c r="R6" i="89"/>
  <c r="R7" i="89"/>
  <c r="R8" i="89"/>
  <c r="R9" i="89"/>
  <c r="R10" i="89"/>
  <c r="R11" i="89"/>
  <c r="R12" i="89"/>
  <c r="R13" i="89"/>
  <c r="Q15" i="89"/>
  <c r="R15" i="89"/>
  <c r="Q16" i="89"/>
  <c r="R16" i="89"/>
  <c r="Q17" i="89"/>
  <c r="R17" i="89"/>
  <c r="R18" i="89"/>
  <c r="R19" i="89"/>
  <c r="R20" i="89"/>
  <c r="R21" i="89"/>
  <c r="R22" i="89"/>
  <c r="R23" i="89"/>
  <c r="R24" i="89"/>
  <c r="R25" i="89"/>
  <c r="R26" i="89"/>
  <c r="R27" i="89"/>
  <c r="R28" i="89"/>
  <c r="R29" i="89"/>
  <c r="R30" i="89"/>
  <c r="R31" i="89"/>
  <c r="R32" i="89"/>
  <c r="R33" i="89"/>
  <c r="R34" i="89"/>
  <c r="R35" i="89"/>
  <c r="R36" i="89"/>
  <c r="R37" i="89"/>
  <c r="Q18" i="89"/>
  <c r="Q19" i="89"/>
  <c r="Q20" i="89"/>
  <c r="Q21" i="89"/>
  <c r="Q22" i="89"/>
  <c r="Q23" i="89"/>
  <c r="Q24" i="89"/>
  <c r="Q25" i="89"/>
  <c r="Q26" i="89"/>
  <c r="Q27" i="89"/>
  <c r="Q28" i="89"/>
  <c r="Q29" i="89"/>
  <c r="Q30" i="89"/>
  <c r="Q31" i="89"/>
  <c r="Q32" i="89"/>
  <c r="Q33" i="89"/>
  <c r="Q34" i="89"/>
  <c r="Q35" i="89"/>
  <c r="Q36" i="89"/>
  <c r="Q37" i="89"/>
  <c r="K38" i="89"/>
  <c r="O5" i="89"/>
  <c r="O6" i="89"/>
  <c r="O7" i="89"/>
  <c r="O8" i="89"/>
  <c r="O9" i="89"/>
  <c r="O10" i="89"/>
  <c r="O11" i="89"/>
  <c r="O12" i="89"/>
  <c r="O13" i="89"/>
  <c r="O14" i="89"/>
  <c r="O15" i="89"/>
  <c r="O16" i="89"/>
  <c r="O17" i="89"/>
  <c r="O18" i="89"/>
  <c r="O19" i="89"/>
  <c r="O20" i="89"/>
  <c r="O21" i="89"/>
  <c r="O22" i="89"/>
  <c r="O23" i="89"/>
  <c r="O24" i="89"/>
  <c r="O25" i="89"/>
  <c r="O26" i="89"/>
  <c r="O27" i="89"/>
  <c r="O28" i="89"/>
  <c r="O29" i="89"/>
  <c r="O30" i="89"/>
  <c r="O31" i="89"/>
  <c r="O32" i="89"/>
  <c r="O33" i="89"/>
  <c r="O34" i="89"/>
  <c r="O35" i="89"/>
  <c r="O36" i="89"/>
  <c r="O37" i="89"/>
  <c r="P15" i="89"/>
  <c r="P16" i="89"/>
  <c r="P5" i="89"/>
  <c r="P6" i="89"/>
  <c r="P7" i="89"/>
  <c r="P8" i="89"/>
  <c r="P9" i="89"/>
  <c r="P10" i="89"/>
  <c r="P11" i="89"/>
  <c r="P12" i="89"/>
  <c r="P13" i="89"/>
  <c r="P17" i="89"/>
  <c r="P18" i="89"/>
  <c r="P19" i="89"/>
  <c r="P20" i="89"/>
  <c r="P21" i="89"/>
  <c r="P22" i="89"/>
  <c r="P23" i="89"/>
  <c r="P24" i="89"/>
  <c r="P25" i="89"/>
  <c r="P26" i="89"/>
  <c r="P27" i="89"/>
  <c r="P28" i="89"/>
  <c r="P29" i="89"/>
  <c r="P30" i="89"/>
  <c r="P31" i="89"/>
  <c r="P32" i="89"/>
  <c r="P33" i="89"/>
  <c r="P34" i="89"/>
  <c r="P35" i="89"/>
  <c r="P36" i="89"/>
  <c r="P37" i="89"/>
  <c r="T1" i="65"/>
  <c r="J19" i="65"/>
  <c r="I19" i="65"/>
  <c r="D19" i="4"/>
  <c r="E19" i="4"/>
  <c r="F19" i="4"/>
  <c r="C19" i="4"/>
  <c r="M7" i="65"/>
  <c r="D20" i="49"/>
  <c r="E20" i="49"/>
  <c r="F20" i="49"/>
  <c r="G20" i="49"/>
  <c r="H20" i="49"/>
  <c r="I20" i="49"/>
  <c r="J20" i="49"/>
  <c r="C20" i="49"/>
  <c r="P21" i="10"/>
  <c r="P22" i="10"/>
  <c r="P23" i="10"/>
  <c r="P24" i="10"/>
  <c r="P25" i="10"/>
  <c r="P26" i="10"/>
  <c r="P27" i="10"/>
  <c r="P28" i="10"/>
  <c r="P29" i="10"/>
  <c r="P30" i="10"/>
  <c r="P31" i="10"/>
  <c r="P20" i="10"/>
  <c r="P9" i="10"/>
  <c r="P10" i="10"/>
  <c r="P11" i="10"/>
  <c r="P12" i="10"/>
  <c r="P13" i="10"/>
  <c r="P14" i="10"/>
  <c r="P15" i="10"/>
  <c r="P16" i="10"/>
  <c r="P17" i="10"/>
  <c r="P18" i="10"/>
  <c r="P19" i="10"/>
  <c r="P8" i="10"/>
  <c r="O21" i="10"/>
  <c r="O22" i="10"/>
  <c r="O23" i="10"/>
  <c r="O24" i="10"/>
  <c r="O25" i="10"/>
  <c r="O26" i="10"/>
  <c r="O27" i="10"/>
  <c r="O28" i="10"/>
  <c r="O29" i="10"/>
  <c r="O30" i="10"/>
  <c r="O20" i="10"/>
  <c r="O9" i="10"/>
  <c r="O10" i="10"/>
  <c r="O11" i="10"/>
  <c r="O12" i="10"/>
  <c r="O13" i="10"/>
  <c r="O14" i="10"/>
  <c r="O15" i="10"/>
  <c r="O16" i="10"/>
  <c r="O17" i="10"/>
  <c r="O18" i="10"/>
  <c r="O19" i="10"/>
  <c r="O8" i="10"/>
  <c r="N21" i="10"/>
  <c r="N22" i="10"/>
  <c r="N23" i="10"/>
  <c r="N24" i="10"/>
  <c r="N25" i="10"/>
  <c r="N26" i="10"/>
  <c r="N27" i="10"/>
  <c r="N28" i="10"/>
  <c r="N29" i="10"/>
  <c r="N30" i="10"/>
  <c r="N20" i="10"/>
  <c r="N9" i="10"/>
  <c r="N10" i="10"/>
  <c r="N11" i="10"/>
  <c r="N12" i="10"/>
  <c r="N13" i="10"/>
  <c r="N14" i="10"/>
  <c r="N15" i="10"/>
  <c r="N16" i="10"/>
  <c r="N17" i="10"/>
  <c r="N18" i="10"/>
  <c r="N19" i="10"/>
  <c r="N8" i="10"/>
  <c r="Q20" i="7"/>
  <c r="P20" i="7"/>
  <c r="O20" i="7"/>
  <c r="C20" i="63"/>
  <c r="J20" i="27"/>
  <c r="D14" i="5"/>
  <c r="D15" i="5"/>
  <c r="D16" i="5"/>
  <c r="F14" i="5"/>
  <c r="F15" i="5"/>
  <c r="J13" i="5"/>
  <c r="J14" i="5"/>
  <c r="J15" i="5"/>
  <c r="I15" i="5"/>
  <c r="G15" i="41"/>
  <c r="G19" i="48"/>
  <c r="E16" i="5"/>
  <c r="F16" i="5"/>
  <c r="I16" i="5"/>
  <c r="J16" i="5"/>
  <c r="G12" i="58"/>
  <c r="G13" i="58"/>
  <c r="C19" i="63"/>
  <c r="C18" i="63"/>
  <c r="C19" i="65"/>
  <c r="D19" i="65"/>
  <c r="E19" i="65"/>
  <c r="F19" i="65"/>
  <c r="G19" i="65"/>
  <c r="H19" i="65"/>
  <c r="K19" i="65"/>
  <c r="L19" i="65"/>
  <c r="J20" i="65"/>
  <c r="T2" i="65"/>
  <c r="J21" i="80"/>
  <c r="F15" i="20"/>
  <c r="F16" i="20"/>
  <c r="F17" i="20"/>
  <c r="E21" i="20"/>
  <c r="F21" i="20"/>
  <c r="E20" i="20"/>
  <c r="F20" i="20"/>
  <c r="E19" i="20"/>
  <c r="F19" i="20"/>
  <c r="E18" i="20"/>
  <c r="F18" i="20"/>
  <c r="E17" i="20"/>
  <c r="E16" i="20"/>
  <c r="E15" i="20"/>
  <c r="E14" i="20"/>
  <c r="F14" i="20"/>
  <c r="F19" i="15"/>
  <c r="F20" i="15"/>
  <c r="F21" i="15"/>
  <c r="F22" i="15"/>
  <c r="F23" i="15"/>
  <c r="F24" i="15"/>
  <c r="F25" i="15"/>
  <c r="F26" i="15"/>
  <c r="F27" i="15"/>
  <c r="F28" i="15"/>
  <c r="F18" i="15"/>
  <c r="D25" i="44"/>
  <c r="E15" i="43"/>
  <c r="F20" i="61"/>
  <c r="F19" i="61"/>
  <c r="F18" i="61"/>
  <c r="E20" i="61"/>
  <c r="D20" i="61"/>
  <c r="F16" i="61"/>
  <c r="F15" i="61"/>
  <c r="E21" i="45"/>
  <c r="E25" i="45"/>
  <c r="E24" i="45"/>
  <c r="E23" i="45"/>
  <c r="E22" i="45"/>
  <c r="E20" i="45"/>
  <c r="E19" i="45"/>
  <c r="E18" i="45"/>
  <c r="E17" i="45"/>
  <c r="E16" i="45"/>
  <c r="D25" i="45"/>
  <c r="F15" i="45"/>
  <c r="F14" i="45"/>
  <c r="F13" i="45"/>
  <c r="F12" i="45"/>
  <c r="F11" i="45"/>
  <c r="F10" i="45"/>
  <c r="F9" i="45"/>
  <c r="F8" i="45"/>
  <c r="F7" i="45"/>
  <c r="F6" i="45"/>
  <c r="F25" i="45"/>
  <c r="F21" i="49"/>
  <c r="N11" i="49"/>
  <c r="F18" i="64"/>
  <c r="D20" i="63"/>
  <c r="F20" i="63"/>
  <c r="G14" i="8"/>
  <c r="D17" i="60"/>
  <c r="G14" i="58"/>
  <c r="D11" i="36"/>
  <c r="G11" i="58"/>
  <c r="G12" i="41"/>
  <c r="K9" i="10"/>
  <c r="D20" i="3"/>
  <c r="E20" i="3"/>
  <c r="F20" i="3"/>
  <c r="G20" i="3"/>
  <c r="H20" i="3"/>
  <c r="I20" i="3"/>
  <c r="I21" i="3"/>
  <c r="J20" i="3"/>
  <c r="E18" i="64"/>
  <c r="D19" i="63"/>
  <c r="F19" i="63"/>
  <c r="D18" i="64"/>
  <c r="D17" i="63"/>
  <c r="F17" i="63"/>
  <c r="G17" i="63"/>
  <c r="D20" i="27"/>
  <c r="D21" i="27"/>
  <c r="M2" i="27"/>
  <c r="E20" i="27"/>
  <c r="F20" i="27"/>
  <c r="G20" i="27"/>
  <c r="H20" i="27"/>
  <c r="I20" i="27"/>
  <c r="C20" i="27"/>
  <c r="C20" i="3"/>
  <c r="D17" i="47"/>
  <c r="F17" i="47"/>
  <c r="G17" i="47"/>
  <c r="H17" i="47"/>
  <c r="E16" i="60"/>
  <c r="D17" i="46"/>
  <c r="D18" i="46"/>
  <c r="D16" i="46"/>
  <c r="D15" i="46"/>
  <c r="E15" i="46"/>
  <c r="G11" i="36"/>
  <c r="G12" i="36"/>
  <c r="G15" i="36"/>
  <c r="G14" i="36"/>
  <c r="F12" i="36"/>
  <c r="F15" i="36"/>
  <c r="F11" i="36"/>
  <c r="E14" i="36"/>
  <c r="F14" i="36"/>
  <c r="E11" i="36"/>
  <c r="E12" i="36"/>
  <c r="E15" i="36"/>
  <c r="D12" i="36"/>
  <c r="G19" i="36"/>
  <c r="K8" i="3"/>
  <c r="G11" i="41"/>
  <c r="E21" i="80"/>
  <c r="K8" i="27"/>
  <c r="I21" i="80"/>
  <c r="F21" i="80"/>
  <c r="G10" i="58"/>
  <c r="H21" i="49"/>
  <c r="O11" i="49"/>
  <c r="I21" i="49"/>
  <c r="G15" i="8"/>
  <c r="G6" i="41"/>
  <c r="G7" i="41"/>
  <c r="G8" i="41"/>
  <c r="G9" i="41"/>
  <c r="G10" i="41"/>
  <c r="E18" i="63"/>
  <c r="G6" i="58"/>
  <c r="G7" i="58"/>
  <c r="G8" i="58"/>
  <c r="G9" i="58"/>
  <c r="D14" i="61"/>
  <c r="E13" i="61"/>
  <c r="E12" i="61"/>
  <c r="E14" i="61"/>
  <c r="F14" i="61"/>
  <c r="E16" i="46"/>
  <c r="D25" i="46"/>
  <c r="D11" i="61"/>
  <c r="E10" i="61"/>
  <c r="E11" i="61"/>
  <c r="E9" i="61"/>
  <c r="G9" i="63"/>
  <c r="G10" i="63"/>
  <c r="E8" i="61"/>
  <c r="F8" i="61"/>
  <c r="D8" i="61"/>
  <c r="F7" i="61"/>
  <c r="F6" i="61"/>
  <c r="K8" i="7"/>
  <c r="U1" i="65"/>
  <c r="S1" i="65"/>
  <c r="R1" i="65"/>
  <c r="K8" i="10"/>
  <c r="H21" i="80"/>
  <c r="D21" i="80"/>
  <c r="C21" i="80"/>
  <c r="G21" i="80"/>
  <c r="B24" i="46"/>
  <c r="B22" i="46"/>
  <c r="F12" i="63"/>
  <c r="F13" i="63"/>
  <c r="G14" i="63"/>
  <c r="F14" i="63"/>
  <c r="F15" i="63"/>
  <c r="G15" i="63"/>
  <c r="F16" i="63"/>
  <c r="G16" i="63"/>
  <c r="F11" i="63"/>
  <c r="G11" i="63"/>
  <c r="G12" i="63"/>
  <c r="G8" i="67"/>
  <c r="F8" i="67"/>
  <c r="F13" i="67"/>
  <c r="G7" i="67"/>
  <c r="G13" i="67"/>
  <c r="E7" i="67"/>
  <c r="E13" i="67"/>
  <c r="D7" i="67"/>
  <c r="D13" i="67"/>
  <c r="C7" i="67"/>
  <c r="C13" i="67"/>
  <c r="B7" i="67"/>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E17" i="46"/>
  <c r="D14" i="36"/>
  <c r="B9" i="4"/>
  <c r="B10" i="4"/>
  <c r="B11" i="4"/>
  <c r="B12" i="4"/>
  <c r="B13" i="4"/>
  <c r="B14" i="4"/>
  <c r="B15" i="4"/>
  <c r="B16" i="4"/>
  <c r="M1" i="27"/>
  <c r="N1" i="27"/>
  <c r="O1" i="27"/>
  <c r="N1" i="3"/>
  <c r="O1" i="3"/>
  <c r="P1" i="3"/>
  <c r="B7" i="4"/>
  <c r="F13" i="61"/>
  <c r="G13" i="63"/>
  <c r="F12" i="61"/>
  <c r="D20" i="36"/>
  <c r="E19" i="36"/>
  <c r="G21" i="36"/>
  <c r="E20" i="36"/>
  <c r="J21" i="49"/>
  <c r="C23" i="46"/>
  <c r="E22" i="46"/>
  <c r="E24" i="46"/>
  <c r="C24" i="46"/>
  <c r="E25" i="46"/>
  <c r="E18" i="46"/>
  <c r="D23" i="46"/>
  <c r="D24" i="46"/>
  <c r="E23" i="46"/>
  <c r="C25" i="46"/>
  <c r="D22" i="46"/>
  <c r="C22" i="46"/>
  <c r="C17" i="63"/>
  <c r="F11" i="61"/>
  <c r="F20" i="36"/>
  <c r="F21" i="36"/>
  <c r="G20" i="36"/>
  <c r="D15" i="36"/>
  <c r="E21" i="36"/>
  <c r="D21" i="36"/>
  <c r="D19" i="36"/>
  <c r="F19" i="36"/>
  <c r="K20" i="65"/>
  <c r="I20" i="65"/>
  <c r="J21" i="3"/>
  <c r="G20" i="63"/>
  <c r="D18" i="63"/>
  <c r="F18" i="63"/>
  <c r="G18" i="63"/>
  <c r="F20" i="65"/>
  <c r="S2" i="65"/>
  <c r="C20" i="65"/>
  <c r="H20" i="65"/>
  <c r="U2" i="65"/>
  <c r="D20" i="65"/>
  <c r="R2" i="65"/>
  <c r="E20" i="65"/>
  <c r="L20" i="65"/>
  <c r="C21" i="27"/>
  <c r="F21" i="3"/>
  <c r="O2" i="3"/>
  <c r="G21" i="49"/>
  <c r="D21" i="49"/>
  <c r="M11" i="49"/>
  <c r="P11" i="49"/>
  <c r="H21" i="3"/>
  <c r="P2" i="3"/>
  <c r="E21" i="3"/>
  <c r="D21" i="3"/>
  <c r="N2" i="3"/>
  <c r="C21" i="49"/>
  <c r="E21" i="49"/>
  <c r="G21" i="27"/>
  <c r="E21" i="27"/>
  <c r="G20" i="65"/>
  <c r="H21" i="27"/>
  <c r="O2" i="27"/>
  <c r="F21" i="27"/>
  <c r="N2" i="27"/>
  <c r="C21" i="3"/>
  <c r="G21" i="3"/>
  <c r="V2" i="65"/>
  <c r="G19" i="63"/>
  <c r="Q2" i="3"/>
  <c r="P2" i="27"/>
</calcChain>
</file>

<file path=xl/sharedStrings.xml><?xml version="1.0" encoding="utf-8"?>
<sst xmlns="http://schemas.openxmlformats.org/spreadsheetml/2006/main" count="1754" uniqueCount="740">
  <si>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</si>
  <si>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</si>
  <si>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</si>
  <si>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</si>
  <si>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</si>
  <si>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</si>
  <si>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</si>
  <si>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</si>
  <si>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</si>
  <si>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</si>
  <si>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</si>
  <si>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</si>
  <si>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</si>
  <si>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</si>
  <si>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</si>
  <si>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</si>
  <si>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</si>
  <si>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</si>
  <si>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</si>
  <si>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</si>
  <si>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</si>
  <si>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</si>
  <si>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</si>
  <si>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</si>
  <si>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</si>
  <si>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</si>
  <si>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</si>
  <si>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</si>
  <si>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</si>
  <si>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</si>
  <si>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</si>
  <si>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</si>
  <si>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</si>
  <si>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</si>
  <si>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</si>
  <si>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</si>
  <si>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</si>
  <si>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</si>
  <si>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</si>
  <si>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</si>
  <si>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</si>
  <si>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</si>
  <si>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</si>
  <si>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</si>
  <si>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</si>
  <si>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</si>
  <si>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</si>
  <si>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</si>
  <si>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</si>
  <si>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</si>
  <si>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</si>
  <si>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</si>
  <si>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</si>
  <si>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</si>
  <si>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</si>
  <si>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</si>
  <si>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</si>
  <si>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</si>
  <si>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</si>
  <si>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</si>
  <si>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</si>
  <si>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</si>
  <si>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</si>
  <si>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</si>
  <si>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</si>
  <si>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</si>
  <si>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</si>
  <si>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</si>
  <si>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</si>
  <si>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</si>
  <si>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</si>
  <si>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</si>
  <si>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</si>
  <si>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</si>
  <si>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</si>
  <si>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</si>
  <si>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</si>
  <si>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</si>
  <si>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</si>
  <si>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</si>
  <si>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</si>
  <si>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</si>
  <si>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</si>
  <si>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</si>
  <si>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</si>
  <si>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</si>
  <si>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</si>
  <si>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</si>
  <si>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</si>
  <si>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</si>
  <si>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</si>
  <si>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</si>
  <si>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</si>
  <si>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</si>
  <si>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</si>
  <si>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</si>
  <si>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</si>
  <si>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</si>
  <si>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</si>
  <si>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</si>
  <si>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</si>
  <si>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</si>
  <si>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</si>
  <si>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</si>
  <si>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</si>
  <si>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</si>
  <si>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</si>
  <si>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</si>
  <si>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2014/15</t>
  </si>
  <si>
    <t>Producción (miles de toneladas)</t>
  </si>
  <si>
    <t>Exportaciones</t>
  </si>
  <si>
    <t>Canadian WRS</t>
  </si>
  <si>
    <t>Productos</t>
  </si>
  <si>
    <t>Año y Mes</t>
  </si>
  <si>
    <t>Harina</t>
  </si>
  <si>
    <t>Primera</t>
  </si>
  <si>
    <t>Especial</t>
  </si>
  <si>
    <t>Otra</t>
  </si>
  <si>
    <t>Harinilla</t>
  </si>
  <si>
    <t>Afrecho</t>
  </si>
  <si>
    <t>Afrechillo</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</si>
  <si>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</si>
  <si>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</si>
  <si>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</si>
  <si>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</si>
  <si>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</si>
  <si>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</si>
  <si>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</si>
  <si>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</si>
  <si>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</si>
  <si>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</si>
  <si>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</si>
  <si>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</si>
  <si>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</si>
  <si>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</si>
  <si>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</si>
  <si>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</si>
  <si>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</si>
  <si>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</si>
  <si>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</si>
  <si>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</si>
  <si>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</si>
  <si>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</si>
  <si>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</si>
  <si>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</si>
  <si>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</si>
  <si>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</si>
  <si>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</si>
  <si>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</si>
  <si>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</si>
  <si>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</si>
  <si>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</si>
  <si>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</si>
  <si>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</si>
  <si>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</si>
  <si>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</si>
  <si>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</si>
  <si>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</si>
  <si>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</si>
  <si>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</si>
  <si>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</si>
  <si>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</si>
  <si>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</si>
  <si>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</si>
  <si>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</si>
  <si>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</si>
  <si>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</si>
  <si>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</si>
  <si>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</si>
  <si>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</si>
  <si>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</si>
  <si>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</si>
  <si>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</si>
  <si>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</si>
  <si>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</si>
  <si>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</si>
  <si>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</si>
  <si>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</si>
  <si>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</si>
  <si>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</si>
  <si>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</si>
  <si>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</si>
  <si>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</si>
  <si>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</si>
  <si>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</si>
  <si>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</si>
  <si>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</si>
  <si>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</si>
  <si>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</si>
  <si>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</si>
  <si>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</si>
  <si>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</si>
  <si>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</si>
  <si>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</si>
  <si>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</si>
  <si>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</si>
  <si>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</si>
  <si>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</si>
  <si>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</si>
  <si>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</si>
  <si>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</si>
  <si>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</si>
  <si>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</si>
  <si>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</si>
  <si>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</si>
  <si>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</si>
  <si>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</si>
  <si>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</si>
  <si>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</si>
  <si>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</si>
  <si>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</si>
  <si>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</si>
  <si>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</si>
  <si>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</si>
  <si>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</si>
  <si>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</si>
  <si>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</si>
  <si>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</si>
  <si>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</si>
  <si>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</si>
  <si>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</si>
  <si>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</si>
  <si>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</si>
  <si>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</si>
  <si>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</si>
  <si>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</si>
  <si>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</si>
  <si>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</si>
  <si>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</si>
  <si>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</si>
  <si>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</si>
  <si>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</si>
  <si>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</si>
  <si>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</si>
  <si>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</si>
  <si>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</si>
  <si>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</si>
  <si>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</si>
  <si>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</si>
  <si>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</si>
  <si>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</si>
  <si>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</si>
  <si>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</si>
  <si>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</si>
  <si>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</si>
  <si>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</si>
  <si>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</si>
  <si>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</si>
  <si>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</si>
  <si>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</si>
  <si>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</si>
  <si>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</si>
  <si>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</si>
  <si>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</si>
  <si>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</si>
  <si>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</si>
  <si>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</si>
  <si>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</si>
  <si>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</si>
  <si>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</si>
  <si>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</si>
  <si>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</si>
  <si>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</si>
  <si>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</si>
  <si>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</si>
  <si>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</si>
  <si>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</si>
  <si>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</si>
  <si>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</si>
  <si>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</si>
  <si>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</si>
  <si>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</si>
  <si>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</si>
  <si>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</si>
  <si>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</si>
  <si>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</si>
  <si>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</si>
  <si>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</si>
  <si>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</si>
  <si>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</si>
  <si>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</si>
  <si>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</si>
  <si>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</si>
  <si>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</si>
  <si>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</si>
  <si>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</si>
  <si>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</si>
  <si>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</si>
  <si>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</si>
  <si>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</si>
  <si>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</si>
  <si>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</si>
  <si>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</si>
  <si>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</si>
  <si>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</si>
  <si>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</si>
  <si>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</si>
  <si>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</si>
  <si>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</si>
  <si>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</si>
  <si>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</si>
  <si>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</si>
  <si>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</si>
  <si>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</si>
  <si>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</si>
  <si>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</si>
  <si>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</si>
  <si>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</si>
  <si>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</si>
  <si>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</si>
  <si>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</si>
  <si>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</si>
  <si>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</si>
  <si>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</si>
  <si>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</si>
  <si>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</si>
  <si>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</si>
  <si>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</si>
  <si>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</si>
  <si>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</si>
  <si>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</si>
  <si>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</si>
  <si>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</si>
  <si>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</si>
  <si>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</si>
  <si>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</si>
  <si>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</si>
  <si>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</si>
  <si>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</si>
  <si>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</si>
  <si>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</si>
  <si>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</si>
  <si>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</si>
  <si>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</si>
  <si>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</si>
  <si>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</si>
  <si>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</si>
  <si>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</si>
  <si>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</si>
  <si>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</si>
  <si>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</si>
  <si>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</si>
  <si>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</si>
  <si>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</si>
  <si>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</si>
  <si>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</si>
  <si>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</si>
  <si>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</si>
  <si>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</si>
  <si>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</si>
  <si>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</si>
  <si>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</si>
  <si>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</si>
  <si>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</si>
  <si>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</si>
  <si>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</si>
  <si>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</si>
  <si>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</si>
  <si>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</si>
  <si>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</si>
  <si>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</si>
  <si>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</si>
  <si>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</si>
  <si>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</si>
  <si>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</si>
  <si>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</si>
  <si>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</si>
  <si>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</si>
  <si>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</si>
  <si>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</si>
  <si>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</si>
  <si>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</si>
  <si>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</si>
  <si>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</si>
  <si>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</si>
  <si>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</si>
  <si>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</si>
  <si>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</si>
  <si>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</si>
  <si>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</si>
  <si>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</si>
  <si>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</si>
  <si>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</si>
  <si>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</si>
  <si>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</si>
  <si>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</si>
  <si>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</si>
  <si>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</si>
  <si>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</si>
  <si>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</si>
  <si>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</si>
  <si>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</si>
  <si>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</si>
  <si>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</si>
  <si>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</si>
  <si>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</si>
  <si>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</si>
  <si>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</si>
  <si>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</si>
  <si>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</si>
  <si>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</si>
  <si>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</si>
  <si>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</si>
  <si>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</si>
  <si>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</si>
  <si>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</si>
  <si>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</si>
  <si>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</si>
  <si>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</si>
  <si>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</si>
  <si>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</si>
  <si>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</si>
  <si>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</si>
  <si>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</si>
  <si>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</si>
  <si>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</si>
  <si>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</si>
  <si>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</si>
  <si>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</si>
  <si>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</si>
  <si>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</si>
  <si>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</si>
  <si>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</si>
  <si>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</si>
  <si>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</si>
  <si>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</si>
  <si>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</si>
  <si>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</si>
  <si>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</si>
  <si>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</si>
  <si>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</si>
  <si>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</si>
  <si>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</si>
  <si>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</si>
  <si>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</si>
  <si>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</si>
  <si>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</si>
  <si>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</si>
  <si>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</si>
  <si>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</si>
  <si>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</si>
  <si>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</si>
  <si>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</si>
  <si>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</si>
  <si>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</si>
  <si>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</si>
  <si>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</si>
  <si>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</si>
  <si>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</si>
  <si>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</si>
  <si>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</si>
  <si>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</si>
  <si>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</si>
  <si>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</si>
  <si>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</si>
  <si>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</si>
  <si>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</si>
  <si>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</si>
  <si>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</si>
  <si>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</si>
  <si>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</si>
  <si>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</si>
  <si>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</si>
  <si>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</si>
  <si>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</si>
  <si>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</si>
  <si>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</si>
  <si>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</si>
  <si>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</si>
  <si>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</si>
  <si>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</si>
  <si>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</si>
  <si>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</si>
  <si>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t>
  </si>
  <si>
    <t>2018/19</t>
  </si>
  <si>
    <t xml:space="preserve">Fuente: elaborado por Odepa con información del Instituto Nacional de Estadísticas (INE). 
</t>
  </si>
  <si>
    <t xml:space="preserve">Fuente: elaborado por Odepa con información de WASDE, USDA.           </t>
  </si>
  <si>
    <t>2018/2019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</si>
  <si>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</si>
  <si>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</si>
  <si>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</si>
  <si>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</si>
  <si>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</si>
  <si>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</si>
  <si>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</si>
  <si>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</si>
  <si>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</si>
  <si>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</si>
  <si>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</si>
  <si>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</si>
  <si>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</si>
  <si>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</si>
  <si>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</si>
  <si>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</si>
  <si>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</si>
  <si>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</si>
  <si>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</si>
  <si>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</si>
  <si>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</si>
  <si>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</si>
  <si>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</si>
  <si>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</si>
  <si>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</si>
  <si>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</si>
  <si>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</si>
  <si>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</si>
  <si>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</si>
  <si>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</si>
  <si>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</si>
  <si>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</si>
  <si>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</si>
  <si>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</si>
  <si>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</si>
  <si>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</si>
  <si>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</si>
  <si>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Biobio</t>
  </si>
  <si>
    <t>Arica, Tarapacá, Coquimbo y Maule</t>
  </si>
  <si>
    <t xml:space="preserve">2019 </t>
  </si>
  <si>
    <t>2020</t>
  </si>
  <si>
    <t xml:space="preserve">Región de Ñuble </t>
  </si>
  <si>
    <t>Región del Ñuble</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</si>
  <si>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</si>
  <si>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</si>
  <si>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</si>
  <si>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</si>
  <si>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</si>
  <si>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</si>
  <si>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</si>
  <si>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</si>
  <si>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</si>
  <si>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</si>
  <si>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</si>
  <si>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</si>
  <si>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</si>
  <si>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</si>
  <si>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</si>
  <si>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16 de marzo de 2020</t>
  </si>
  <si>
    <t>20 de marzo de 2020</t>
  </si>
  <si>
    <t>30 de marzo de 2020</t>
  </si>
  <si>
    <t xml:space="preserve">Suave </t>
  </si>
  <si>
    <t xml:space="preserve">Fuente: elaborado por Odepa. </t>
  </si>
  <si>
    <t>CanadianTrigo pan</t>
  </si>
  <si>
    <t>TPArg</t>
  </si>
  <si>
    <t>Proyección mensual del balance mundial de oferta y demanda de trigo temporada 2020/21</t>
  </si>
  <si>
    <t>2020/21 proyectado</t>
  </si>
  <si>
    <t>2019/20 estimado</t>
  </si>
  <si>
    <t>Años agrícolas 2018/19 - 2019/20</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</si>
  <si>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</si>
  <si>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</si>
  <si>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</si>
  <si>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</si>
  <si>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</si>
  <si>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</si>
  <si>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</si>
  <si>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</si>
  <si>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</si>
  <si>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</si>
  <si>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</si>
  <si>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</si>
  <si>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</si>
  <si>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</si>
  <si>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</si>
  <si>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</si>
  <si>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</si>
  <si>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</si>
  <si>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</si>
  <si>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</si>
  <si>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</si>
  <si>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</si>
  <si>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</si>
  <si>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</si>
  <si>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</si>
  <si>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</si>
  <si>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</si>
  <si>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</si>
  <si>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</si>
  <si>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</si>
  <si>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</si>
  <si>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</si>
  <si>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</si>
  <si>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</si>
  <si>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</si>
  <si>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</si>
  <si>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</si>
  <si>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</si>
  <si>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</si>
  <si>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</si>
  <si>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</si>
  <si>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</si>
  <si>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</si>
  <si>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</si>
  <si>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</si>
  <si>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/R: Cifras rectificadas.</t>
  </si>
  <si>
    <t>/P: cifras provisionales</t>
  </si>
  <si>
    <t>8 de junio de 2020</t>
  </si>
  <si>
    <t>15 de junio de 2020</t>
  </si>
  <si>
    <t>Stock inicial</t>
  </si>
  <si>
    <t>Cuadro Nº 25</t>
  </si>
  <si>
    <t xml:space="preserve">*Encuesta de Cosecha de Cultivos Anuales, elaborada por el INE. 
Fuente: elaborado por Odepa con información del INE.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</si>
  <si>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</si>
  <si>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</si>
  <si>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</si>
  <si>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</si>
  <si>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</si>
  <si>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</si>
  <si>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</si>
  <si>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</si>
  <si>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</si>
  <si>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</si>
  <si>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</si>
  <si>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</si>
  <si>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</si>
  <si>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</si>
  <si>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</si>
  <si>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2019/20</t>
  </si>
  <si>
    <t>Años agrícolas 2018/19 a 2019/20</t>
  </si>
  <si>
    <t>2019/2020</t>
  </si>
  <si>
    <t>20 de julio de 2020</t>
  </si>
  <si>
    <t>27 de julio de 2020</t>
  </si>
  <si>
    <t>3 de agosto de 2020</t>
  </si>
  <si>
    <t>Chile. Superficie, producción y rendimiento regional de trigo panadero 
(Coquimbo a Los Lagos)</t>
  </si>
  <si>
    <t>Chile. Superficie, producción y rendimiento regional de trigo candeal 
(Valparaíso a La Araucanía)</t>
  </si>
  <si>
    <t>10 de agosto de 2020</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</si>
  <si>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</si>
  <si>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</si>
  <si>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Instituto Nacional de Estadísticas (INE). </t>
  </si>
  <si>
    <t xml:space="preserve">Encuesta de Cosecha de Cultivos Anuales, elaborada por el INE. 
Fuente : elaborado por Odepa con información del INE.           </t>
  </si>
  <si>
    <t>17 de agosto de 2020</t>
  </si>
  <si>
    <t>24 de agosto de 2020</t>
  </si>
  <si>
    <t>31 de agosto de 2020</t>
  </si>
  <si>
    <t>8 de septiembre de 2020</t>
  </si>
  <si>
    <t>=</t>
  </si>
  <si>
    <t>2020/21**</t>
  </si>
  <si>
    <t>Años agrícolas 2015/16 a 2019/20</t>
  </si>
  <si>
    <t>14 de septiembre de 2020</t>
  </si>
  <si>
    <t>21 de septiembre de 2020</t>
  </si>
  <si>
    <t>28 de septiembre de 2020</t>
  </si>
  <si>
    <t>5 de octubre de 2020</t>
  </si>
  <si>
    <t>12 de octubre de 2020</t>
  </si>
  <si>
    <t>Trigo panadero</t>
  </si>
  <si>
    <t>Trigo candeal</t>
  </si>
  <si>
    <t>Rendimiento 
(qqm/
hectárea)</t>
  </si>
  <si>
    <t>Para la temporada 2020/2021 el INE ha informado intenciones de siembra por 217.403 hectáreas de trigo (panadero + candeal). Octubre, 2020
Fuente: elaborado por Odepa con información de INE.</t>
  </si>
  <si>
    <t>Período 2012 - 2020</t>
  </si>
  <si>
    <t>-</t>
  </si>
  <si>
    <t>Chile. Producción, importación y disponibilidad aparente de trigo panadero</t>
  </si>
  <si>
    <t>19 de octubre de 2020</t>
  </si>
  <si>
    <t>26 de octubre de 2020</t>
  </si>
  <si>
    <t>2 de noviembre de 2020</t>
  </si>
  <si>
    <t>9 de noviembre de 2020</t>
  </si>
  <si>
    <t xml:space="preserve">*Estimación de superficie, producción y rendimientos de cultivos anuales, según región. Julio 2020.
**intenciones de siembra. Octubre 2020.
Fuente: elaborado por Odepa con información del Instituto Nacional de Estadísticas (INE). </t>
  </si>
  <si>
    <t>16 de noviembre de 2020</t>
  </si>
  <si>
    <t>23 de noviembre de 2020</t>
  </si>
  <si>
    <t>30 de noviembre de 2020</t>
  </si>
  <si>
    <t>7 de diciembre de 2020</t>
  </si>
  <si>
    <t>Sept.</t>
  </si>
  <si>
    <t>Noviemb.</t>
  </si>
  <si>
    <t>10019942 
(Pan Argentino)
10019952 (Canadian)</t>
  </si>
  <si>
    <t>Costo promedio ponderado de las importaciones efectuadas</t>
  </si>
  <si>
    <t>14 de diciembre de 2020</t>
  </si>
  <si>
    <t>21 de diciembre de 2020</t>
  </si>
  <si>
    <t>28 de diciembre de 2020</t>
  </si>
  <si>
    <t>4 de enero de 2021</t>
  </si>
  <si>
    <t>11 de enero de 2021</t>
  </si>
  <si>
    <t>Director y representante legal</t>
  </si>
  <si>
    <t>Adolfo Ochagavía Vial</t>
  </si>
  <si>
    <t>Costo importación real (USD/ton)</t>
  </si>
  <si>
    <t>Valos dólar ($/USD)</t>
  </si>
  <si>
    <t>Costo importación real ($/ton)</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</si>
  <si>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</si>
  <si>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</si>
  <si>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</si>
  <si>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</si>
  <si>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</si>
  <si>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</si>
  <si>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Período 2018 - 2021</t>
  </si>
  <si>
    <t>2020 - 2021</t>
  </si>
  <si>
    <t>2020-2021</t>
  </si>
  <si>
    <t>Período 2020 - 2021</t>
  </si>
  <si>
    <t>Var. 2021-2020</t>
  </si>
  <si>
    <t>Diciemb.</t>
  </si>
  <si>
    <t>Variación acumulada índices precio trigo-harina-pan</t>
  </si>
  <si>
    <t>Años agrícolas 2018/19 a 2019/2020</t>
  </si>
  <si>
    <t>Período 2017-2021</t>
  </si>
  <si>
    <t>Período 2016 - 2021</t>
  </si>
  <si>
    <t>2021*</t>
  </si>
  <si>
    <t>Período 2017 - 2021</t>
  </si>
  <si>
    <t/>
  </si>
  <si>
    <t>Años agrícolas 2008/09 a 2020/21</t>
  </si>
  <si>
    <t>Período 2008 - 2020</t>
  </si>
  <si>
    <t>Período 2014-2021</t>
  </si>
  <si>
    <t>Período 2014 - 2021</t>
  </si>
  <si>
    <t>Se excluye trigo destinado a uso forrajero.
En enero de 2021 empresas con giro pecuario importaron 35.129 toneladas de trigo (no consideradas en el cuadro superior).
Fuente: elaborado por Odepa con información del Servicio Nacional de Aduanas.</t>
  </si>
  <si>
    <t xml:space="preserve">Participación </t>
  </si>
  <si>
    <t>Se excluye trigo destinado a uso forrajero. 
En enero de 2021 empresas con giro pecuario importaron 35.129 toneladas de trigo (no consideradas en el cuadro superior).
Fuente: elaborado por Odepa con información del Servicio Nacional de Aduanas.</t>
  </si>
  <si>
    <t>Se excluye trigo destinado a uso forrajero.
Fuente: elaborado por Odepa con información del Servicio Nacional de Aduanas.</t>
  </si>
  <si>
    <t>Costo de importación CAI (Odepa) $/qq</t>
  </si>
  <si>
    <t>19 de enero de 2021</t>
  </si>
  <si>
    <t>25 de enero de 2021</t>
  </si>
  <si>
    <t>1 de febrero de 2021</t>
  </si>
  <si>
    <t>8 de febrero de 2021</t>
  </si>
  <si>
    <t>Fecha de publicación: febrero 2021</t>
  </si>
  <si>
    <t xml:space="preserve"> Temporada: 2020 - 2021</t>
  </si>
  <si>
    <t xml:space="preserve">Variedad: </t>
  </si>
  <si>
    <t>Región:</t>
  </si>
  <si>
    <t>Diamante INIA, Zafiro - INIA</t>
  </si>
  <si>
    <t xml:space="preserve">Tecnología: </t>
  </si>
  <si>
    <t>Media</t>
  </si>
  <si>
    <t xml:space="preserve">Tecnología de riego: </t>
  </si>
  <si>
    <t>Tradicional (pre germinado)</t>
  </si>
  <si>
    <t>Costos directos</t>
  </si>
  <si>
    <t>imprevistos (5%)</t>
  </si>
  <si>
    <t>Costos inditectos (tasa interés 1,5%)</t>
  </si>
  <si>
    <t>Alta</t>
  </si>
  <si>
    <t>Siembra en seco</t>
  </si>
  <si>
    <t>Para mayores detalles y análisis de sensibilidad: https://www.odepa.gob.cl/fichas-de-costo/ficha-de-costo-del-arroz-region-del-maule</t>
  </si>
  <si>
    <t>*Se excluye trigo importado destinado a uso forrajero (durante 2020 no se registraron importaciones realizadas por empresas con giro 100% pecuario).                                   
Fuente: elaborado por Odepa con información del INE y Servicio Nacional de Aduanas.</t>
  </si>
  <si>
    <t>*Se excluye trigo destinado a uso forrajero.
En  2021 empresas con giro pecuario han importado 71.404 toneladas de trigo (no consideradas en el cuadro superior).
Fuente: elaborado por Odepa con información del Servicio Nacional de Aduanas.</t>
  </si>
  <si>
    <t xml:space="preserve">*Incluye trigo panadero y candeal. Se excluye trigo destinado a uso forrajero.
En  2021 empresas con giro pecuario han importado 71.404 toneladas de trigo (no consideradas en el cuadro superior).
Fuente: elaborado por Odepa con información del Servicio Nacional de Aduanas.                                </t>
  </si>
  <si>
    <t>Se excluye trigo destinado a uso forrajero.
En  2021 empresas con giro pecuario han importado 71.404 toneladas de trigo (no consideradas en el cuadro superior).
Fuente: elaborado por Odepa con información del Servicio Nacional de Aduanas.</t>
  </si>
  <si>
    <t xml:space="preserve">*Los precios pueden tener distintas condiciones de pago. 
Para más detalle ver en www.cotrisa.cl.     
Fuente: elaborado por Odepa con información de Cotrisa.    
</t>
  </si>
  <si>
    <t>16 de febrero de 2021</t>
  </si>
  <si>
    <t>22 de febrero de 2021</t>
  </si>
  <si>
    <t>1 de marzo de 2021</t>
  </si>
  <si>
    <t>2021/P</t>
  </si>
  <si>
    <t xml:space="preserve">*cifras a febrero del 2021.
Fuente: elaborado por Odepa con información del Servicio Nacional de Aduanas.
</t>
  </si>
  <si>
    <t>2021 *</t>
  </si>
  <si>
    <t>*costo promedio en febrero de 2021.
Fuente: elaborado por Odepa con información del Servicio Nacional de Aduanas.</t>
  </si>
  <si>
    <t>* Importaciones a febrero de 2021. 
Fuente: elaborado por Odepa con información del Servicio Nacional de Aduanas.</t>
  </si>
  <si>
    <t xml:space="preserve">*Costo promedio de importaciones de febrero de 2021.
Fuente: elaborado por Odepa con información del Servicio Nacional de Aduanas. </t>
  </si>
  <si>
    <t>8 de marzo de 2021</t>
  </si>
  <si>
    <t>Enero 2021 (Trigo - Harina de Trigo)
Febrero 2021 (Pan )</t>
  </si>
  <si>
    <t xml:space="preserve">* IPP. La variación del IPP del trigo harinero en los últimos 12 meses es de 13,5%.
** IPP. La variación del IPP de la harina de trigo en los últimos 12 meses es de 6,8%.
***IPC. La variación del IPC del pan en los últimos 12 meses es de 5,4%. </t>
  </si>
  <si>
    <t>Marzo 2021 (millones de toneladas)</t>
  </si>
  <si>
    <t>0.67</t>
  </si>
  <si>
    <t>Evolución de los índices de precios a consumidor del arroz grado 2 en supermercados en la Región Metropolitana vs. CAI producto elaborado y CIF arroz grano partido &gt; al 5% pero &lt; =al 15% en peso</t>
  </si>
  <si>
    <t>Marzo 2021</t>
  </si>
  <si>
    <t>Avance información general al 28 de febrero de 2021
Avance información precios futuros al 8 de marzo de 2021
Avance información balanza mundial al 9 de marzo de 2021</t>
  </si>
  <si>
    <t>La Secretaría de Agroindustria de Argentina, en su Informe de Movimientos Portuarios Internos de la semana del 24 de febrero al 4 de marzo de 2021, no ha reportado embarques con destino a Chile (https://www.magyp.gob.ar/sitio/areas/ss_mercados_agropecuarios/logistica/_archivos/000022_Posición%20de%20Buques%20en%20Puertos%20y%20Anunciados%20(Line%20up)/000008_Movimientos%20Portuarios%20Internos%20-%20Actual.pdf).</t>
  </si>
  <si>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Trigo</t>
    </r>
    <r>
      <rPr>
        <sz val="11"/>
        <rFont val="Arial"/>
        <family val="2"/>
      </rPr>
      <t xml:space="preserve">
En mazo, el informe Wasde entregó una proyección mundial de trigo para 2020/21 de mayores suministros (stock inicial más producción), mayor consumo, mayores exportaciones y menores existencias finales. La producción mundial aumenta a un récord de 776,8 millones de toneladas, principalmente debido a la mayor producción de Australia. El consumo mundial 2020/21 aumenta en 6,6 millones de toneladas, principalmente debido a un mayor uso de para alimentación animal por parte de China, ya que los precios internos del maíz siguen siendo superiores al trigo. 
El comercio mundial proyectado para 2020/21 se eleva, principalmente gracias al aumento de las exportaciones de Australia y Canadá y las existencias finales mundiales proyectadas para 2020/21 se reducen en 3,0 millones de toneladas, principalmente por el aumento del consumo en China. Sin embargo, dichas existencias, siguen siendo ligeramente más altas que en 2019/20.
En Chile, las importaciones de trigo panadero alcanzaron a febrero 143 mil toneladas, un 14% menos que las registradas durante el mismo periodo del año pasado.
</t>
    </r>
    <r>
      <rPr>
        <b/>
        <sz val="11"/>
        <rFont val="Arial"/>
        <family val="2"/>
      </rPr>
      <t>Maíz</t>
    </r>
    <r>
      <rPr>
        <sz val="11"/>
        <rFont val="Arial"/>
        <family val="2"/>
      </rPr>
      <t xml:space="preserve">
En marzo, el Informe Wasde proyectó que la producción mundial de maíz aumentará, por incrementos en India, Sudáfrica y Bangladesh. México disminuye su producción. 
Las exportaciones de maíz se incrementan para India, Vietnam y Sudáfrica y las existencias finales para 2020/21 son más altas, lo que refleja principalmente aumentos en India, Vietnam y Paraguay, que  compensan con creces reducciones en Argentina y México. 
En Chile, las importaciones de maíz grano alcanzaron a febrero 398 mil toneladas, un 0,5% menos que las registradas durante el mismo periodo del año pasado. 
</t>
    </r>
    <r>
      <rPr>
        <b/>
        <sz val="11"/>
        <rFont val="Arial"/>
        <family val="2"/>
      </rPr>
      <t>Arroz</t>
    </r>
    <r>
      <rPr>
        <sz val="11"/>
        <rFont val="Arial"/>
        <family val="2"/>
      </rPr>
      <t xml:space="preserve">
A marzo, la perspectiva mundial 2020/21 es de suministros (stock inicial más producción) ligeramente mayores, mayor consumo, comercio casi sin cambios y existencias finales reducidas. Los suministros de arroz se incrementaron, principalmente, debido a una mayor producción de arroz de la India que compensó con creces las reducciones de Bangladesh y Australia. El consumo mundial 2020/21 aumenta en 0,5 millones de toneladas, principalmente debido a un mayor uso doméstico de la India. El comercio mundial se mantiene prácticamente sin cambios en 46,3 millones de toneladas, ya que el aumento de las exportaciones de India, un récord de 15,5 millones, se compensa con la reducción de las exportaciones de Tailandia y Brasil. Las existencias finales mundiales proyectadas para 2020/21 se reducen en 0,3 millones de toneladas a 177,8 millones, principalmente en Bangladesh y Australia.
En Chile, las importaciones de arroz elaborado alcanzaron en febrero 18.450 toneladas, un 2% menos que las realizadas el durante el mismo periodo del año pasado.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</si>
</sst>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164" formatCode="_(* #,##0_);_(* \(#,##0\);_(* &quot;-&quot;_);_(@_)"/>
    <numFmt numFmtId="165" formatCode="_(&quot;$&quot;* #,##0.00_);_(&quot;$&quot;* \(#,##0.00\);_(&quot;$&quot;* &quot;-&quot;??_);_(@_)"/>
    <numFmt numFmtId="166" formatCode="_(* #,##0.00_);_(* \(#,##0.00\);_(* &quot;-&quot;??_);_(@_)"/>
    <numFmt numFmtId="167" formatCode="_-* #,##0_-;\-* #,##0_-;_-* &quot;-&quot;_-;_-@_-"/>
    <numFmt numFmtId="168" formatCode="_-&quot;$&quot;\ * #,##0.00_-;\-&quot;$&quot;\ * #,##0.00_-;_-&quot;$&quot;\ * &quot;-&quot;??_-;_-@_-"/>
    <numFmt numFmtId="169" formatCode="_-* #,##0.00_-;\-* #,##0.00_-;_-* &quot;-&quot;??_-;_-@_-"/>
    <numFmt numFmtId="170" formatCode="_-* #,##0\ _€_-;\-* #,##0\ _€_-;_-* &quot;-&quot;\ _€_-;_-@_-"/>
    <numFmt numFmtId="171" formatCode="_-* #,##0.00\ _€_-;\-* #,##0.00\ _€_-;_-* &quot;-&quot;??\ _€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_-* #,##0.0\ _€_-;\-* #,##0.0\ _€_-;_-* &quot;-&quot;??\ _€_-;_-@_-"/>
  </numFmts>
  <fonts count="221">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sz val="10"/>
      <name val="Arial"/>
      <family val="2"/>
    </font>
    <font>
      <sz val="10"/>
      <name val="Arial"/>
      <family val="2"/>
      <scheme val="minor"/>
    </font>
    <font>
      <sz val="9"/>
      <name val="Arial"/>
      <family val="2"/>
    </font>
    <font>
      <sz val="10"/>
      <color indexed="8"/>
      <name val="Arial"/>
      <family val="2"/>
    </font>
    <font>
      <sz val="10"/>
      <color rgb="FF000000"/>
      <name val="Arial"/>
      <family val="2"/>
      <scheme val="minor"/>
    </font>
    <font>
      <sz val="10"/>
      <name val="Arial MT"/>
    </font>
    <font>
      <u/>
      <sz val="11"/>
      <name val="Arial MT"/>
      <family val="2"/>
    </font>
    <font>
      <sz val="10"/>
      <color theme="0"/>
      <name val="Arial MT"/>
      <family val="2"/>
    </font>
    <font>
      <sz val="10"/>
      <name val="Arial"/>
      <family val="2"/>
    </font>
    <font>
      <b/>
      <sz val="10"/>
      <color theme="1"/>
      <name val="Arial"/>
      <family val="2"/>
    </font>
    <font>
      <sz val="8"/>
      <color rgb="FFFF0000"/>
      <name val="Verdana"/>
      <family val="2"/>
    </font>
    <font>
      <b/>
      <sz val="8"/>
      <color rgb="FFFF0000"/>
      <name val="Verdana"/>
      <family val="2"/>
    </font>
    <font>
      <b/>
      <sz val="11"/>
      <color theme="0"/>
      <name val="Arial"/>
      <family val="2"/>
      <scheme val="minor"/>
    </font>
    <font>
      <sz val="11"/>
      <color theme="0"/>
      <name val="Arial MT"/>
      <family val="2"/>
    </font>
    <font>
      <b/>
      <sz val="10"/>
      <color theme="5"/>
      <name val="Arial"/>
      <family val="2"/>
    </font>
    <font>
      <sz val="10"/>
      <color theme="5"/>
      <name val="Arial"/>
      <family val="2"/>
    </font>
    <font>
      <sz val="9"/>
      <color theme="5"/>
      <name val="Arial"/>
      <family val="2"/>
    </font>
    <font>
      <sz val="14"/>
      <color theme="0"/>
      <name val="Arial MT"/>
      <family val="2"/>
    </font>
    <font>
      <sz val="10"/>
      <color theme="0"/>
      <name val="Arial"/>
      <family val="2"/>
      <scheme val="minor"/>
    </font>
    <font>
      <b/>
      <sz val="9"/>
      <color rgb="FF000000"/>
      <name val="Arial MT"/>
      <family val="2"/>
    </font>
    <font>
      <sz val="10"/>
      <color rgb="FFFF0000"/>
      <name val="Arial MT"/>
      <family val="2"/>
    </font>
    <font>
      <sz val="9"/>
      <color rgb="FFFF0000"/>
      <name val="Arial MT"/>
      <family val="2"/>
    </font>
    <font>
      <b/>
      <sz val="9"/>
      <color rgb="FFFF0000"/>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99">
    <xf numFmtId="0" fontId="0" fillId="0" borderId="0"/>
    <xf numFmtId="0" fontId="9" fillId="2" borderId="0" applyNumberFormat="0" applyBorder="0" applyAlignment="0" applyProtection="0"/>
    <xf numFmtId="0" fontId="9" fillId="3"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3" borderId="0" applyNumberFormat="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151" fillId="54" borderId="0" applyNumberFormat="0" applyBorder="0" applyAlignment="0" applyProtection="0"/>
    <xf numFmtId="188" fontId="9" fillId="3" borderId="0" applyBorder="0" applyAlignment="0" applyProtection="0"/>
    <xf numFmtId="188" fontId="47" fillId="3" borderId="0" applyBorder="0" applyAlignment="0" applyProtection="0"/>
    <xf numFmtId="188" fontId="9" fillId="3" borderId="0" applyBorder="0" applyAlignment="0" applyProtection="0"/>
    <xf numFmtId="188" fontId="47" fillId="3" borderId="0" applyBorder="0" applyAlignment="0" applyProtection="0"/>
    <xf numFmtId="188" fontId="9" fillId="3" borderId="0" applyBorder="0" applyAlignment="0" applyProtection="0"/>
    <xf numFmtId="188" fontId="9" fillId="3"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9" fillId="7" borderId="0" applyNumberFormat="0" applyBorder="0" applyAlignment="0" applyProtection="0"/>
    <xf numFmtId="0" fontId="9" fillId="8"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8" borderId="0" applyNumberFormat="0" applyBorder="0" applyAlignment="0" applyProtection="0"/>
    <xf numFmtId="188" fontId="9" fillId="8" borderId="0" applyBorder="0" applyAlignment="0" applyProtection="0"/>
    <xf numFmtId="188" fontId="47" fillId="8" borderId="0" applyBorder="0" applyAlignment="0" applyProtection="0"/>
    <xf numFmtId="188" fontId="9" fillId="8" borderId="0" applyBorder="0" applyAlignment="0" applyProtection="0"/>
    <xf numFmtId="188" fontId="47" fillId="8" borderId="0" applyBorder="0" applyAlignment="0" applyProtection="0"/>
    <xf numFmtId="188" fontId="9" fillId="8" borderId="0" applyBorder="0" applyAlignment="0" applyProtection="0"/>
    <xf numFmtId="0" fontId="151" fillId="10"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9" fillId="11" borderId="0" applyNumberFormat="0" applyBorder="0" applyAlignment="0" applyProtection="0"/>
    <xf numFmtId="0" fontId="9" fillId="12" borderId="0" applyNumberFormat="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0" fontId="9" fillId="12"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151" fillId="14" borderId="0" applyNumberFormat="0" applyBorder="0" applyAlignment="0" applyProtection="0"/>
    <xf numFmtId="188" fontId="9" fillId="12" borderId="0" applyBorder="0" applyAlignment="0" applyProtection="0"/>
    <xf numFmtId="188" fontId="47" fillId="12" borderId="0" applyBorder="0" applyAlignment="0" applyProtection="0"/>
    <xf numFmtId="188" fontId="9" fillId="12" borderId="0" applyBorder="0" applyAlignment="0" applyProtection="0"/>
    <xf numFmtId="188" fontId="47" fillId="12" borderId="0" applyBorder="0" applyAlignment="0" applyProtection="0"/>
    <xf numFmtId="188" fontId="9" fillId="12" borderId="0" applyBorder="0" applyAlignment="0" applyProtection="0"/>
    <xf numFmtId="188" fontId="9" fillId="12"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2" borderId="0" applyNumberFormat="0" applyBorder="0" applyAlignment="0" applyProtection="0"/>
    <xf numFmtId="0" fontId="9" fillId="15" borderId="0" applyNumberFormat="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187" fontId="47" fillId="4" borderId="0" applyBorder="0" applyAlignment="0" applyProtection="0"/>
    <xf numFmtId="187" fontId="9" fillId="4" borderId="0" applyBorder="0" applyAlignment="0" applyProtection="0"/>
    <xf numFmtId="0" fontId="9" fillId="15" borderId="0" applyNumberFormat="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151" fillId="16" borderId="0" applyNumberFormat="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9" fillId="15" borderId="0" applyBorder="0" applyAlignment="0" applyProtection="0"/>
    <xf numFmtId="187" fontId="9" fillId="5" borderId="0" applyBorder="0" applyAlignment="0" applyProtection="0"/>
    <xf numFmtId="187" fontId="47" fillId="5" borderId="0" applyBorder="0" applyAlignment="0" applyProtection="0"/>
    <xf numFmtId="187" fontId="9" fillId="5" borderId="0" applyBorder="0" applyAlignment="0" applyProtection="0"/>
    <xf numFmtId="0" fontId="9" fillId="17" borderId="0" applyNumberFormat="0" applyBorder="0" applyAlignment="0" applyProtection="0"/>
    <xf numFmtId="0" fontId="9" fillId="18" borderId="0" applyNumberFormat="0" applyBorder="0" applyAlignment="0" applyProtection="0"/>
    <xf numFmtId="187" fontId="9" fillId="18" borderId="0" applyBorder="0" applyAlignment="0" applyProtection="0"/>
    <xf numFmtId="187" fontId="47" fillId="18" borderId="0" applyBorder="0" applyAlignment="0" applyProtection="0"/>
    <xf numFmtId="187" fontId="9" fillId="18" borderId="0" applyBorder="0" applyAlignment="0" applyProtection="0"/>
    <xf numFmtId="187" fontId="47" fillId="18" borderId="0" applyBorder="0" applyAlignment="0" applyProtection="0"/>
    <xf numFmtId="187" fontId="9" fillId="18" borderId="0" applyBorder="0" applyAlignment="0" applyProtection="0"/>
    <xf numFmtId="0" fontId="9" fillId="18" borderId="0" applyNumberFormat="0" applyBorder="0" applyAlignment="0" applyProtection="0"/>
    <xf numFmtId="188" fontId="9" fillId="18" borderId="0" applyBorder="0" applyAlignment="0" applyProtection="0"/>
    <xf numFmtId="188" fontId="47" fillId="18" borderId="0" applyBorder="0" applyAlignment="0" applyProtection="0"/>
    <xf numFmtId="188" fontId="9" fillId="18" borderId="0" applyBorder="0" applyAlignment="0" applyProtection="0"/>
    <xf numFmtId="188" fontId="47" fillId="18" borderId="0" applyBorder="0" applyAlignment="0" applyProtection="0"/>
    <xf numFmtId="188" fontId="9" fillId="18" borderId="0" applyBorder="0" applyAlignment="0" applyProtection="0"/>
    <xf numFmtId="0" fontId="151" fillId="6" borderId="0" applyNumberFormat="0" applyBorder="0" applyAlignment="0" applyProtection="0"/>
    <xf numFmtId="187" fontId="47" fillId="18" borderId="0" applyBorder="0" applyAlignment="0" applyProtection="0"/>
    <xf numFmtId="187" fontId="9" fillId="18" borderId="0" applyBorder="0" applyAlignment="0" applyProtection="0"/>
    <xf numFmtId="187" fontId="9" fillId="18" borderId="0" applyBorder="0" applyAlignment="0" applyProtection="0"/>
    <xf numFmtId="0" fontId="9" fillId="11" borderId="0" applyNumberFormat="0" applyBorder="0" applyAlignment="0" applyProtection="0"/>
    <xf numFmtId="0" fontId="9" fillId="9"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9" borderId="0" applyNumberFormat="0" applyBorder="0" applyAlignment="0" applyProtection="0"/>
    <xf numFmtId="188" fontId="9" fillId="9" borderId="0" applyBorder="0" applyAlignment="0" applyProtection="0"/>
    <xf numFmtId="188" fontId="47" fillId="9" borderId="0" applyBorder="0" applyAlignment="0" applyProtection="0"/>
    <xf numFmtId="188" fontId="9" fillId="9" borderId="0" applyBorder="0" applyAlignment="0" applyProtection="0"/>
    <xf numFmtId="188" fontId="47" fillId="9" borderId="0" applyBorder="0" applyAlignment="0" applyProtection="0"/>
    <xf numFmtId="188" fontId="9" fillId="9" borderId="0" applyBorder="0" applyAlignment="0" applyProtection="0"/>
    <xf numFmtId="0" fontId="151" fillId="19"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9" fillId="20" borderId="0" applyNumberFormat="0" applyBorder="0" applyAlignment="0" applyProtection="0"/>
    <xf numFmtId="0" fontId="9" fillId="21" borderId="0" applyNumberFormat="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0" fontId="9" fillId="21" borderId="0" applyNumberFormat="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0" fontId="151" fillId="6" borderId="0" applyNumberFormat="0" applyBorder="0" applyAlignment="0" applyProtection="0"/>
    <xf numFmtId="187" fontId="47" fillId="22" borderId="0" applyBorder="0" applyAlignment="0" applyProtection="0"/>
    <xf numFmtId="187" fontId="9" fillId="22" borderId="0" applyBorder="0" applyAlignment="0" applyProtection="0"/>
    <xf numFmtId="187" fontId="9" fillId="22" borderId="0" applyBorder="0" applyAlignment="0" applyProtection="0"/>
    <xf numFmtId="0" fontId="9" fillId="7" borderId="0" applyNumberFormat="0" applyBorder="0" applyAlignment="0" applyProtection="0"/>
    <xf numFmtId="0" fontId="9" fillId="23" borderId="0" applyNumberFormat="0" applyBorder="0" applyAlignment="0" applyProtection="0"/>
    <xf numFmtId="187" fontId="9" fillId="23" borderId="0" applyBorder="0" applyAlignment="0" applyProtection="0"/>
    <xf numFmtId="187" fontId="47" fillId="23" borderId="0" applyBorder="0" applyAlignment="0" applyProtection="0"/>
    <xf numFmtId="187" fontId="9" fillId="23" borderId="0" applyBorder="0" applyAlignment="0" applyProtection="0"/>
    <xf numFmtId="187" fontId="47" fillId="23" borderId="0" applyBorder="0" applyAlignment="0" applyProtection="0"/>
    <xf numFmtId="187" fontId="9" fillId="23" borderId="0" applyBorder="0" applyAlignment="0" applyProtection="0"/>
    <xf numFmtId="0" fontId="9" fillId="23" borderId="0" applyNumberFormat="0" applyBorder="0" applyAlignment="0" applyProtection="0"/>
    <xf numFmtId="188" fontId="9" fillId="23" borderId="0" applyBorder="0" applyAlignment="0" applyProtection="0"/>
    <xf numFmtId="188" fontId="47" fillId="23" borderId="0" applyBorder="0" applyAlignment="0" applyProtection="0"/>
    <xf numFmtId="188" fontId="9" fillId="23" borderId="0" applyBorder="0" applyAlignment="0" applyProtection="0"/>
    <xf numFmtId="188" fontId="47" fillId="23" borderId="0" applyBorder="0" applyAlignment="0" applyProtection="0"/>
    <xf numFmtId="188" fontId="9" fillId="23" borderId="0" applyBorder="0" applyAlignment="0" applyProtection="0"/>
    <xf numFmtId="0" fontId="151" fillId="10" borderId="0" applyNumberFormat="0" applyBorder="0" applyAlignment="0" applyProtection="0"/>
    <xf numFmtId="187" fontId="47" fillId="23" borderId="0" applyBorder="0" applyAlignment="0" applyProtection="0"/>
    <xf numFmtId="187" fontId="9" fillId="23" borderId="0" applyBorder="0" applyAlignment="0" applyProtection="0"/>
    <xf numFmtId="187" fontId="9" fillId="23" borderId="0" applyBorder="0" applyAlignment="0" applyProtection="0"/>
    <xf numFmtId="0" fontId="9" fillId="13" borderId="0" applyNumberFormat="0" applyBorder="0" applyAlignment="0" applyProtection="0"/>
    <xf numFmtId="0" fontId="9" fillId="24" borderId="0" applyNumberFormat="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187" fontId="47" fillId="13" borderId="0" applyBorder="0" applyAlignment="0" applyProtection="0"/>
    <xf numFmtId="187" fontId="9" fillId="13" borderId="0" applyBorder="0" applyAlignment="0" applyProtection="0"/>
    <xf numFmtId="0" fontId="9" fillId="24" borderId="0" applyNumberFormat="0" applyBorder="0" applyAlignment="0" applyProtection="0"/>
    <xf numFmtId="188" fontId="9" fillId="24" borderId="0" applyBorder="0" applyAlignment="0" applyProtection="0"/>
    <xf numFmtId="188" fontId="47" fillId="24" borderId="0" applyBorder="0" applyAlignment="0" applyProtection="0"/>
    <xf numFmtId="188" fontId="9" fillId="24" borderId="0" applyBorder="0" applyAlignment="0" applyProtection="0"/>
    <xf numFmtId="188" fontId="47" fillId="24" borderId="0" applyBorder="0" applyAlignment="0" applyProtection="0"/>
    <xf numFmtId="188" fontId="9" fillId="24" borderId="0" applyBorder="0" applyAlignment="0" applyProtection="0"/>
    <xf numFmtId="0" fontId="151" fillId="14" borderId="0" applyNumberFormat="0" applyBorder="0" applyAlignment="0" applyProtection="0"/>
    <xf numFmtId="187" fontId="47" fillId="13" borderId="0" applyBorder="0" applyAlignment="0" applyProtection="0"/>
    <xf numFmtId="187" fontId="9" fillId="13" borderId="0" applyBorder="0" applyAlignment="0" applyProtection="0"/>
    <xf numFmtId="187" fontId="9" fillId="13" borderId="0" applyBorder="0" applyAlignment="0" applyProtection="0"/>
    <xf numFmtId="0" fontId="9" fillId="20" borderId="0" applyNumberFormat="0" applyBorder="0" applyAlignment="0" applyProtection="0"/>
    <xf numFmtId="0" fontId="9" fillId="15" borderId="0" applyNumberFormat="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187" fontId="47" fillId="22" borderId="0" applyBorder="0" applyAlignment="0" applyProtection="0"/>
    <xf numFmtId="187" fontId="9" fillId="22" borderId="0" applyBorder="0" applyAlignment="0" applyProtection="0"/>
    <xf numFmtId="0" fontId="9" fillId="15" borderId="0" applyNumberFormat="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188" fontId="47" fillId="15" borderId="0" applyBorder="0" applyAlignment="0" applyProtection="0"/>
    <xf numFmtId="188" fontId="9" fillId="15" borderId="0" applyBorder="0" applyAlignment="0" applyProtection="0"/>
    <xf numFmtId="0" fontId="151" fillId="25" borderId="0" applyNumberFormat="0" applyBorder="0" applyAlignment="0" applyProtection="0"/>
    <xf numFmtId="187" fontId="47" fillId="22" borderId="0" applyBorder="0" applyAlignment="0" applyProtection="0"/>
    <xf numFmtId="187" fontId="9" fillId="22" borderId="0" applyBorder="0" applyAlignment="0" applyProtection="0"/>
    <xf numFmtId="187" fontId="9" fillId="22" borderId="0" applyBorder="0" applyAlignment="0" applyProtection="0"/>
    <xf numFmtId="0" fontId="9" fillId="26" borderId="0" applyNumberFormat="0" applyBorder="0" applyAlignment="0" applyProtection="0"/>
    <xf numFmtId="0" fontId="9" fillId="21" borderId="0" applyNumberFormat="0" applyBorder="0" applyAlignment="0" applyProtection="0"/>
    <xf numFmtId="187" fontId="9" fillId="21" borderId="0" applyBorder="0" applyAlignment="0" applyProtection="0"/>
    <xf numFmtId="187" fontId="47" fillId="21" borderId="0" applyBorder="0" applyAlignment="0" applyProtection="0"/>
    <xf numFmtId="187" fontId="9" fillId="21" borderId="0" applyBorder="0" applyAlignment="0" applyProtection="0"/>
    <xf numFmtId="187" fontId="47" fillId="21" borderId="0" applyBorder="0" applyAlignment="0" applyProtection="0"/>
    <xf numFmtId="187" fontId="9" fillId="21" borderId="0" applyBorder="0" applyAlignment="0" applyProtection="0"/>
    <xf numFmtId="0" fontId="9" fillId="21" borderId="0" applyNumberFormat="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188" fontId="47" fillId="21" borderId="0" applyBorder="0" applyAlignment="0" applyProtection="0"/>
    <xf numFmtId="188" fontId="9" fillId="21" borderId="0" applyBorder="0" applyAlignment="0" applyProtection="0"/>
    <xf numFmtId="0" fontId="151" fillId="6" borderId="0" applyNumberFormat="0" applyBorder="0" applyAlignment="0" applyProtection="0"/>
    <xf numFmtId="187" fontId="47" fillId="21" borderId="0" applyBorder="0" applyAlignment="0" applyProtection="0"/>
    <xf numFmtId="187" fontId="9" fillId="21" borderId="0" applyBorder="0" applyAlignment="0" applyProtection="0"/>
    <xf numFmtId="187" fontId="9" fillId="21" borderId="0" applyBorder="0" applyAlignment="0" applyProtection="0"/>
    <xf numFmtId="0" fontId="9" fillId="13" borderId="0" applyNumberFormat="0" applyBorder="0" applyAlignment="0" applyProtection="0"/>
    <xf numFmtId="0" fontId="9" fillId="27" borderId="0" applyNumberFormat="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187" fontId="47" fillId="9" borderId="0" applyBorder="0" applyAlignment="0" applyProtection="0"/>
    <xf numFmtId="187" fontId="9" fillId="9" borderId="0" applyBorder="0" applyAlignment="0" applyProtection="0"/>
    <xf numFmtId="0" fontId="9" fillId="27" borderId="0" applyNumberFormat="0" applyBorder="0" applyAlignment="0" applyProtection="0"/>
    <xf numFmtId="188" fontId="9" fillId="27" borderId="0" applyBorder="0" applyAlignment="0" applyProtection="0"/>
    <xf numFmtId="188" fontId="47" fillId="27" borderId="0" applyBorder="0" applyAlignment="0" applyProtection="0"/>
    <xf numFmtId="188" fontId="9" fillId="27" borderId="0" applyBorder="0" applyAlignment="0" applyProtection="0"/>
    <xf numFmtId="188" fontId="47" fillId="27" borderId="0" applyBorder="0" applyAlignment="0" applyProtection="0"/>
    <xf numFmtId="188" fontId="9" fillId="27" borderId="0" applyBorder="0" applyAlignment="0" applyProtection="0"/>
    <xf numFmtId="0" fontId="151" fillId="19" borderId="0" applyNumberFormat="0" applyBorder="0" applyAlignment="0" applyProtection="0"/>
    <xf numFmtId="187" fontId="47" fillId="9" borderId="0" applyBorder="0" applyAlignment="0" applyProtection="0"/>
    <xf numFmtId="187" fontId="9" fillId="9" borderId="0" applyBorder="0" applyAlignment="0" applyProtection="0"/>
    <xf numFmtId="187" fontId="9" fillId="9" borderId="0" applyBorder="0" applyAlignment="0" applyProtection="0"/>
    <xf numFmtId="0" fontId="10" fillId="28" borderId="0" applyNumberFormat="0" applyBorder="0" applyAlignment="0" applyProtection="0"/>
    <xf numFmtId="0" fontId="10" fillId="29" borderId="0" applyNumberFormat="0" applyBorder="0" applyAlignment="0" applyProtection="0"/>
    <xf numFmtId="187" fontId="10" fillId="28" borderId="0" applyBorder="0" applyAlignment="0" applyProtection="0"/>
    <xf numFmtId="0" fontId="10" fillId="29" borderId="0" applyNumberFormat="0" applyBorder="0" applyAlignment="0" applyProtection="0"/>
    <xf numFmtId="188" fontId="10" fillId="29" borderId="0" applyBorder="0" applyAlignment="0" applyProtection="0"/>
    <xf numFmtId="0" fontId="152" fillId="30" borderId="0" applyNumberFormat="0" applyBorder="0" applyAlignment="0" applyProtection="0"/>
    <xf numFmtId="0" fontId="10" fillId="7" borderId="0" applyNumberFormat="0" applyBorder="0" applyAlignment="0" applyProtection="0"/>
    <xf numFmtId="0" fontId="10" fillId="23" borderId="0" applyNumberFormat="0" applyBorder="0" applyAlignment="0" applyProtection="0"/>
    <xf numFmtId="187" fontId="10" fillId="23" borderId="0" applyBorder="0" applyAlignment="0" applyProtection="0"/>
    <xf numFmtId="0" fontId="10" fillId="23" borderId="0" applyNumberFormat="0" applyBorder="0" applyAlignment="0" applyProtection="0"/>
    <xf numFmtId="188" fontId="10" fillId="23" borderId="0" applyBorder="0" applyAlignment="0" applyProtection="0"/>
    <xf numFmtId="0" fontId="152" fillId="10" borderId="0" applyNumberFormat="0" applyBorder="0" applyAlignment="0" applyProtection="0"/>
    <xf numFmtId="0" fontId="10" fillId="13" borderId="0" applyNumberFormat="0" applyBorder="0" applyAlignment="0" applyProtection="0"/>
    <xf numFmtId="0" fontId="10" fillId="24" borderId="0" applyNumberFormat="0" applyBorder="0" applyAlignment="0" applyProtection="0"/>
    <xf numFmtId="187" fontId="10" fillId="13" borderId="0" applyBorder="0" applyAlignment="0" applyProtection="0"/>
    <xf numFmtId="0" fontId="10" fillId="24" borderId="0" applyNumberFormat="0" applyBorder="0" applyAlignment="0" applyProtection="0"/>
    <xf numFmtId="188" fontId="10" fillId="24" borderId="0" applyBorder="0" applyAlignment="0" applyProtection="0"/>
    <xf numFmtId="0" fontId="152" fillId="14" borderId="0" applyNumberFormat="0" applyBorder="0" applyAlignment="0" applyProtection="0"/>
    <xf numFmtId="0" fontId="10" fillId="20" borderId="0" applyNumberFormat="0" applyBorder="0" applyAlignment="0" applyProtection="0"/>
    <xf numFmtId="0" fontId="10" fillId="31" borderId="0" applyNumberFormat="0" applyBorder="0" applyAlignment="0" applyProtection="0"/>
    <xf numFmtId="187" fontId="10" fillId="22" borderId="0" applyBorder="0" applyAlignment="0" applyProtection="0"/>
    <xf numFmtId="0" fontId="10" fillId="31" borderId="0" applyNumberFormat="0" applyBorder="0" applyAlignment="0" applyProtection="0"/>
    <xf numFmtId="188" fontId="10" fillId="31" borderId="0" applyBorder="0" applyAlignment="0" applyProtection="0"/>
    <xf numFmtId="0" fontId="152" fillId="3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187" fontId="10" fillId="28" borderId="0" applyBorder="0" applyAlignment="0" applyProtection="0"/>
    <xf numFmtId="0" fontId="10" fillId="28" borderId="0" applyNumberFormat="0" applyBorder="0" applyAlignment="0" applyProtection="0"/>
    <xf numFmtId="188" fontId="10" fillId="28" borderId="0" applyBorder="0" applyAlignment="0" applyProtection="0"/>
    <xf numFmtId="0" fontId="152" fillId="30" borderId="0" applyNumberFormat="0" applyBorder="0" applyAlignment="0" applyProtection="0"/>
    <xf numFmtId="0" fontId="10" fillId="7" borderId="0" applyNumberFormat="0" applyBorder="0" applyAlignment="0" applyProtection="0"/>
    <xf numFmtId="0" fontId="10" fillId="33" borderId="0" applyNumberFormat="0" applyBorder="0" applyAlignment="0" applyProtection="0"/>
    <xf numFmtId="187" fontId="10" fillId="9" borderId="0" applyBorder="0" applyAlignment="0" applyProtection="0"/>
    <xf numFmtId="0" fontId="10" fillId="33" borderId="0" applyNumberFormat="0" applyBorder="0" applyAlignment="0" applyProtection="0"/>
    <xf numFmtId="188" fontId="10" fillId="33" borderId="0" applyBorder="0" applyAlignment="0" applyProtection="0"/>
    <xf numFmtId="0" fontId="152" fillId="34" borderId="0" applyNumberFormat="0" applyBorder="0" applyAlignment="0" applyProtection="0"/>
    <xf numFmtId="0" fontId="11" fillId="12" borderId="0" applyNumberFormat="0" applyBorder="0" applyAlignment="0" applyProtection="0"/>
    <xf numFmtId="187" fontId="11" fillId="12" borderId="0" applyBorder="0" applyAlignment="0" applyProtection="0"/>
    <xf numFmtId="0" fontId="11" fillId="12" borderId="0" applyNumberFormat="0" applyBorder="0" applyAlignment="0" applyProtection="0"/>
    <xf numFmtId="188" fontId="11" fillId="12" borderId="0" applyBorder="0" applyAlignment="0" applyProtection="0"/>
    <xf numFmtId="0" fontId="153" fillId="14" borderId="0" applyNumberFormat="0" applyBorder="0" applyAlignment="0" applyProtection="0"/>
    <xf numFmtId="0" fontId="153" fillId="14" borderId="0" applyNumberFormat="0" applyBorder="0" applyAlignment="0" applyProtection="0"/>
    <xf numFmtId="0" fontId="12" fillId="5" borderId="1" applyNumberFormat="0" applyAlignment="0" applyProtection="0"/>
    <xf numFmtId="0" fontId="12" fillId="22" borderId="1" applyNumberFormat="0" applyAlignment="0" applyProtection="0"/>
    <xf numFmtId="187" fontId="12" fillId="4" borderId="1" applyAlignment="0" applyProtection="0"/>
    <xf numFmtId="187" fontId="12" fillId="4" borderId="1" applyAlignment="0" applyProtection="0"/>
    <xf numFmtId="0" fontId="12" fillId="22" borderId="1" applyNumberFormat="0" applyAlignment="0" applyProtection="0"/>
    <xf numFmtId="187" fontId="12" fillId="5" borderId="1" applyAlignment="0" applyProtection="0"/>
    <xf numFmtId="187" fontId="12" fillId="5" borderId="1" applyAlignment="0" applyProtection="0"/>
    <xf numFmtId="0" fontId="154" fillId="35" borderId="2" applyNumberFormat="0" applyAlignment="0" applyProtection="0"/>
    <xf numFmtId="188" fontId="12" fillId="22" borderId="1" applyAlignment="0" applyProtection="0"/>
    <xf numFmtId="188" fontId="12" fillId="22" borderId="1" applyAlignment="0" applyProtection="0"/>
    <xf numFmtId="188" fontId="12" fillId="22" borderId="1" applyAlignment="0" applyProtection="0"/>
    <xf numFmtId="0" fontId="13" fillId="36" borderId="3" applyNumberFormat="0" applyAlignment="0" applyProtection="0"/>
    <xf numFmtId="0" fontId="13" fillId="37" borderId="3" applyNumberFormat="0" applyAlignment="0" applyProtection="0"/>
    <xf numFmtId="187" fontId="13" fillId="37" borderId="3" applyAlignment="0" applyProtection="0"/>
    <xf numFmtId="187" fontId="13" fillId="37" borderId="3" applyAlignment="0" applyProtection="0"/>
    <xf numFmtId="187" fontId="144" fillId="37" borderId="3" applyAlignment="0" applyProtection="0"/>
    <xf numFmtId="0" fontId="13" fillId="37" borderId="3" applyNumberFormat="0" applyAlignment="0" applyProtection="0"/>
    <xf numFmtId="188" fontId="13" fillId="37" borderId="3" applyAlignment="0" applyProtection="0"/>
    <xf numFmtId="188" fontId="13" fillId="37" borderId="3" applyAlignment="0" applyProtection="0"/>
    <xf numFmtId="188" fontId="144" fillId="37" borderId="3" applyAlignment="0" applyProtection="0"/>
    <xf numFmtId="0" fontId="155" fillId="38" borderId="48" applyNumberFormat="0" applyAlignment="0" applyProtection="0"/>
    <xf numFmtId="0" fontId="14" fillId="0" borderId="4" applyNumberFormat="0" applyFill="0" applyAlignment="0" applyProtection="0"/>
    <xf numFmtId="0" fontId="14" fillId="0" borderId="4" applyNumberFormat="0" applyFill="0" applyAlignment="0" applyProtection="0"/>
    <xf numFmtId="187" fontId="14" fillId="0" borderId="4" applyFill="0" applyAlignment="0" applyProtection="0"/>
    <xf numFmtId="0" fontId="14" fillId="0" borderId="4" applyNumberFormat="0" applyFill="0" applyAlignment="0" applyProtection="0"/>
    <xf numFmtId="188" fontId="14" fillId="0" borderId="4" applyFill="0" applyAlignment="0" applyProtection="0"/>
    <xf numFmtId="0" fontId="156" fillId="0" borderId="49" applyNumberFormat="0" applyFill="0" applyAlignment="0" applyProtection="0"/>
    <xf numFmtId="165"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5" fontId="86" fillId="0" borderId="0" applyFont="0" applyFill="0" applyBorder="0" applyAlignment="0" applyProtection="0"/>
    <xf numFmtId="165"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157" fillId="0" borderId="5" applyNumberFormat="0" applyFill="0" applyAlignment="0" applyProtection="0"/>
    <xf numFmtId="0" fontId="15" fillId="0" borderId="0" applyNumberFormat="0" applyFill="0" applyBorder="0" applyAlignment="0" applyProtection="0"/>
    <xf numFmtId="0" fontId="39" fillId="0" borderId="0" applyNumberFormat="0" applyFill="0" applyBorder="0" applyAlignment="0" applyProtection="0"/>
    <xf numFmtId="187" fontId="15" fillId="0" borderId="0" applyFill="0" applyBorder="0" applyAlignment="0" applyProtection="0"/>
    <xf numFmtId="0" fontId="39" fillId="0" borderId="0" applyNumberFormat="0" applyFill="0" applyBorder="0" applyAlignment="0" applyProtection="0"/>
    <xf numFmtId="188" fontId="39" fillId="0" borderId="0" applyFill="0" applyBorder="0" applyAlignment="0" applyProtection="0"/>
    <xf numFmtId="0" fontId="158" fillId="0" borderId="0" applyNumberFormat="0" applyFill="0" applyBorder="0" applyAlignment="0" applyProtection="0"/>
    <xf numFmtId="0" fontId="10" fillId="28" borderId="0" applyNumberFormat="0" applyBorder="0" applyAlignment="0" applyProtection="0"/>
    <xf numFmtId="0" fontId="10" fillId="39" borderId="0" applyNumberFormat="0" applyBorder="0" applyAlignment="0" applyProtection="0"/>
    <xf numFmtId="187" fontId="10" fillId="28" borderId="0" applyBorder="0" applyAlignment="0" applyProtection="0"/>
    <xf numFmtId="0" fontId="10" fillId="39" borderId="0" applyNumberFormat="0" applyBorder="0" applyAlignment="0" applyProtection="0"/>
    <xf numFmtId="188" fontId="10" fillId="39" borderId="0" applyBorder="0" applyAlignment="0" applyProtection="0"/>
    <xf numFmtId="0" fontId="152"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187" fontId="10" fillId="41" borderId="0" applyBorder="0" applyAlignment="0" applyProtection="0"/>
    <xf numFmtId="0" fontId="10" fillId="41" borderId="0" applyNumberFormat="0" applyBorder="0" applyAlignment="0" applyProtection="0"/>
    <xf numFmtId="188" fontId="10" fillId="41" borderId="0" applyBorder="0" applyAlignment="0" applyProtection="0"/>
    <xf numFmtId="0" fontId="152" fillId="1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187" fontId="10" fillId="42" borderId="0" applyBorder="0" applyAlignment="0" applyProtection="0"/>
    <xf numFmtId="0" fontId="10" fillId="42" borderId="0" applyNumberFormat="0" applyBorder="0" applyAlignment="0" applyProtection="0"/>
    <xf numFmtId="188" fontId="10" fillId="42" borderId="0" applyBorder="0" applyAlignment="0" applyProtection="0"/>
    <xf numFmtId="0" fontId="152" fillId="43" borderId="0" applyNumberFormat="0" applyBorder="0" applyAlignment="0" applyProtection="0"/>
    <xf numFmtId="0" fontId="10" fillId="44" borderId="0" applyNumberFormat="0" applyBorder="0" applyAlignment="0" applyProtection="0"/>
    <xf numFmtId="0" fontId="10" fillId="31" borderId="0" applyNumberFormat="0" applyBorder="0" applyAlignment="0" applyProtection="0"/>
    <xf numFmtId="187" fontId="10" fillId="45" borderId="0" applyBorder="0" applyAlignment="0" applyProtection="0"/>
    <xf numFmtId="0" fontId="10" fillId="31" borderId="0" applyNumberFormat="0" applyBorder="0" applyAlignment="0" applyProtection="0"/>
    <xf numFmtId="188" fontId="10" fillId="31" borderId="0" applyBorder="0" applyAlignment="0" applyProtection="0"/>
    <xf numFmtId="0" fontId="152"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187" fontId="10" fillId="28" borderId="0" applyBorder="0" applyAlignment="0" applyProtection="0"/>
    <xf numFmtId="0" fontId="10" fillId="28" borderId="0" applyNumberFormat="0" applyBorder="0" applyAlignment="0" applyProtection="0"/>
    <xf numFmtId="188" fontId="10" fillId="28" borderId="0" applyBorder="0" applyAlignment="0" applyProtection="0"/>
    <xf numFmtId="0" fontId="152"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187" fontId="10" fillId="49" borderId="0" applyBorder="0" applyAlignment="0" applyProtection="0"/>
    <xf numFmtId="0" fontId="10" fillId="49" borderId="0" applyNumberFormat="0" applyBorder="0" applyAlignment="0" applyProtection="0"/>
    <xf numFmtId="188" fontId="10" fillId="49" borderId="0" applyBorder="0" applyAlignment="0" applyProtection="0"/>
    <xf numFmtId="0" fontId="152" fillId="50" borderId="0" applyNumberFormat="0" applyBorder="0" applyAlignment="0" applyProtection="0"/>
    <xf numFmtId="0" fontId="16" fillId="13" borderId="1" applyNumberFormat="0" applyAlignment="0" applyProtection="0"/>
    <xf numFmtId="0" fontId="16" fillId="9" borderId="1" applyNumberFormat="0" applyAlignment="0" applyProtection="0"/>
    <xf numFmtId="187" fontId="16" fillId="9" borderId="1" applyAlignment="0" applyProtection="0"/>
    <xf numFmtId="187" fontId="16" fillId="9" borderId="1" applyAlignment="0" applyProtection="0"/>
    <xf numFmtId="0" fontId="16" fillId="9" borderId="1" applyNumberFormat="0" applyAlignment="0" applyProtection="0"/>
    <xf numFmtId="188" fontId="16" fillId="9" borderId="1" applyAlignment="0" applyProtection="0"/>
    <xf numFmtId="188" fontId="16" fillId="9" borderId="1" applyAlignment="0" applyProtection="0"/>
    <xf numFmtId="0" fontId="159" fillId="51" borderId="2" applyNumberFormat="0" applyAlignment="0" applyProtection="0"/>
    <xf numFmtId="0" fontId="47" fillId="0" borderId="0"/>
    <xf numFmtId="0" fontId="160" fillId="0" borderId="0" applyNumberFormat="0" applyFill="0" applyBorder="0" applyAlignment="0" applyProtection="0"/>
    <xf numFmtId="0" fontId="34" fillId="0" borderId="0" applyNumberFormat="0" applyFill="0" applyBorder="0" applyAlignment="0" applyProtection="0">
      <alignment vertical="top"/>
      <protection locked="0"/>
    </xf>
    <xf numFmtId="0" fontId="38" fillId="0" borderId="0" applyNumberFormat="0" applyFill="0" applyBorder="0" applyAlignment="0" applyProtection="0"/>
    <xf numFmtId="188" fontId="48" fillId="0" borderId="0" applyFill="0" applyBorder="0" applyAlignment="0" applyProtection="0"/>
    <xf numFmtId="188" fontId="48" fillId="0" borderId="0" applyFill="0" applyBorder="0" applyAlignment="0" applyProtection="0"/>
    <xf numFmtId="188" fontId="48" fillId="0" borderId="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alignment vertical="top"/>
      <protection locked="0"/>
    </xf>
    <xf numFmtId="0" fontId="162" fillId="0" borderId="0" applyNumberFormat="0" applyFill="0" applyBorder="0" applyAlignment="0" applyProtection="0"/>
    <xf numFmtId="0" fontId="17" fillId="52" borderId="0" applyNumberFormat="0" applyBorder="0" applyAlignment="0" applyProtection="0"/>
    <xf numFmtId="0" fontId="17" fillId="8" borderId="0" applyNumberFormat="0" applyBorder="0" applyAlignment="0" applyProtection="0"/>
    <xf numFmtId="187" fontId="17" fillId="8" borderId="0" applyBorder="0" applyAlignment="0" applyProtection="0"/>
    <xf numFmtId="0" fontId="17" fillId="8" borderId="0" applyNumberFormat="0" applyBorder="0" applyAlignment="0" applyProtection="0"/>
    <xf numFmtId="188" fontId="17" fillId="8" borderId="0" applyBorder="0" applyAlignment="0" applyProtection="0"/>
    <xf numFmtId="0" fontId="163" fillId="55" borderId="0" applyNumberFormat="0" applyBorder="0" applyAlignment="0" applyProtection="0"/>
    <xf numFmtId="178" fontId="33" fillId="0" borderId="0" applyFill="0" applyBorder="0" applyAlignment="0" applyProtection="0"/>
    <xf numFmtId="177" fontId="33" fillId="0" borderId="0" applyFill="0" applyBorder="0" applyAlignment="0" applyProtection="0"/>
    <xf numFmtId="170" fontId="8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86" fillId="0" borderId="0" applyFont="0" applyFill="0" applyBorder="0" applyAlignment="0" applyProtection="0"/>
    <xf numFmtId="170" fontId="7" fillId="0" borderId="0" applyFont="0" applyFill="0" applyBorder="0" applyAlignment="0" applyProtection="0"/>
    <xf numFmtId="186" fontId="8" fillId="0" borderId="0" applyFont="0" applyFill="0" applyBorder="0" applyAlignment="0" applyProtection="0"/>
    <xf numFmtId="177" fontId="33" fillId="0" borderId="0" applyFill="0" applyBorder="0" applyAlignment="0" applyProtection="0"/>
    <xf numFmtId="167" fontId="8" fillId="0" borderId="0" applyFont="0" applyFill="0" applyBorder="0" applyAlignment="0" applyProtection="0"/>
    <xf numFmtId="164" fontId="86" fillId="0" borderId="0" applyFont="0" applyFill="0" applyBorder="0" applyAlignment="0" applyProtection="0"/>
    <xf numFmtId="164"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6" fontId="86" fillId="0" borderId="0" applyFont="0" applyFill="0" applyBorder="0" applyAlignment="0" applyProtection="0"/>
    <xf numFmtId="166"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82" fontId="20" fillId="0" borderId="0" applyFont="0" applyFill="0" applyBorder="0" applyAlignment="0" applyProtection="0"/>
    <xf numFmtId="0"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8" fillId="0" borderId="0" applyFont="0" applyFill="0" applyBorder="0" applyAlignment="0" applyProtection="0"/>
    <xf numFmtId="169" fontId="9" fillId="0" borderId="0" applyFont="0" applyFill="0" applyBorder="0" applyAlignment="0" applyProtection="0"/>
    <xf numFmtId="169" fontId="8" fillId="0" borderId="0" applyFont="0" applyFill="0" applyBorder="0" applyAlignment="0" applyProtection="0"/>
    <xf numFmtId="182"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6" fontId="86" fillId="0" borderId="0" applyFont="0" applyFill="0" applyBorder="0" applyAlignment="0" applyProtection="0"/>
    <xf numFmtId="166" fontId="7" fillId="0" borderId="0" applyFont="0" applyFill="0" applyBorder="0" applyAlignment="0" applyProtection="0"/>
    <xf numFmtId="166" fontId="86" fillId="0" borderId="0" applyFont="0" applyFill="0" applyBorder="0" applyAlignment="0" applyProtection="0"/>
    <xf numFmtId="166" fontId="7" fillId="0" borderId="0" applyFont="0" applyFill="0" applyBorder="0" applyAlignment="0" applyProtection="0"/>
    <xf numFmtId="166" fontId="86" fillId="0" borderId="0" applyFont="0" applyFill="0" applyBorder="0" applyAlignment="0" applyProtection="0"/>
    <xf numFmtId="166" fontId="7" fillId="0" borderId="0" applyFont="0" applyFill="0" applyBorder="0" applyAlignment="0" applyProtection="0"/>
    <xf numFmtId="166" fontId="86" fillId="0" borderId="0" applyFont="0" applyFill="0" applyBorder="0" applyAlignment="0" applyProtection="0"/>
    <xf numFmtId="166" fontId="7" fillId="0" borderId="0" applyFont="0" applyFill="0" applyBorder="0" applyAlignment="0" applyProtection="0"/>
    <xf numFmtId="169" fontId="8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169" fontId="86" fillId="0" borderId="0" applyFont="0" applyFill="0" applyBorder="0" applyAlignment="0" applyProtection="0"/>
    <xf numFmtId="169" fontId="7" fillId="0" borderId="0" applyFont="0" applyFill="0" applyBorder="0" applyAlignment="0" applyProtection="0"/>
    <xf numFmtId="0" fontId="18" fillId="13" borderId="0" applyNumberFormat="0" applyBorder="0" applyAlignment="0" applyProtection="0"/>
    <xf numFmtId="0" fontId="18" fillId="13" borderId="0" applyNumberFormat="0" applyBorder="0" applyAlignment="0" applyProtection="0"/>
    <xf numFmtId="187" fontId="18" fillId="13" borderId="0" applyBorder="0" applyAlignment="0" applyProtection="0"/>
    <xf numFmtId="0" fontId="18" fillId="13" borderId="0" applyNumberFormat="0" applyBorder="0" applyAlignment="0" applyProtection="0"/>
    <xf numFmtId="188" fontId="18" fillId="13" borderId="0" applyBorder="0" applyAlignment="0" applyProtection="0"/>
    <xf numFmtId="0" fontId="164" fillId="56" borderId="0" applyNumberFormat="0" applyBorder="0" applyAlignment="0" applyProtection="0"/>
    <xf numFmtId="0" fontId="19" fillId="0" borderId="0"/>
    <xf numFmtId="0" fontId="52" fillId="0" borderId="0"/>
    <xf numFmtId="0" fontId="151" fillId="0" borderId="0"/>
    <xf numFmtId="0" fontId="151" fillId="0" borderId="0"/>
    <xf numFmtId="0" fontId="151" fillId="0" borderId="0"/>
    <xf numFmtId="0" fontId="146" fillId="0" borderId="0"/>
    <xf numFmtId="0" fontId="7" fillId="0" borderId="0"/>
    <xf numFmtId="0" fontId="151" fillId="0" borderId="0"/>
    <xf numFmtId="0" fontId="151" fillId="0" borderId="0"/>
    <xf numFmtId="0" fontId="51" fillId="0" borderId="0"/>
    <xf numFmtId="0" fontId="8" fillId="0" borderId="0"/>
    <xf numFmtId="0" fontId="8" fillId="0" borderId="0"/>
    <xf numFmtId="0" fontId="151" fillId="0" borderId="0"/>
    <xf numFmtId="0" fontId="54" fillId="0" borderId="0">
      <alignment wrapText="1"/>
    </xf>
    <xf numFmtId="0" fontId="8" fillId="0" borderId="0">
      <alignment wrapText="1"/>
    </xf>
    <xf numFmtId="0" fontId="55" fillId="0" borderId="0">
      <alignment wrapText="1"/>
    </xf>
    <xf numFmtId="0" fontId="8" fillId="0" borderId="0"/>
    <xf numFmtId="0" fontId="8" fillId="0" borderId="0">
      <alignment wrapText="1"/>
    </xf>
    <xf numFmtId="0" fontId="57" fillId="0" borderId="0"/>
    <xf numFmtId="0" fontId="8" fillId="0" borderId="0"/>
    <xf numFmtId="0" fontId="58" fillId="0" borderId="0">
      <alignment wrapText="1"/>
    </xf>
    <xf numFmtId="0" fontId="151" fillId="0" borderId="0"/>
    <xf numFmtId="0" fontId="8" fillId="0" borderId="0">
      <alignment wrapText="1"/>
    </xf>
    <xf numFmtId="0" fontId="20" fillId="0" borderId="0"/>
    <xf numFmtId="0" fontId="8" fillId="0" borderId="0"/>
    <xf numFmtId="0" fontId="151" fillId="0" borderId="0"/>
    <xf numFmtId="0" fontId="151" fillId="0" borderId="0"/>
    <xf numFmtId="0" fontId="8" fillId="0" borderId="0">
      <alignment wrapText="1"/>
    </xf>
    <xf numFmtId="0" fontId="8" fillId="0" borderId="0">
      <alignment wrapText="1"/>
    </xf>
    <xf numFmtId="0" fontId="8" fillId="0" borderId="0"/>
    <xf numFmtId="0" fontId="8" fillId="0" borderId="0"/>
    <xf numFmtId="0" fontId="165" fillId="0" borderId="0"/>
    <xf numFmtId="0" fontId="52" fillId="0" borderId="0"/>
    <xf numFmtId="0" fontId="52" fillId="0" borderId="0"/>
    <xf numFmtId="187" fontId="49" fillId="0" borderId="0"/>
    <xf numFmtId="0" fontId="8" fillId="0" borderId="0"/>
    <xf numFmtId="0" fontId="166" fillId="0" borderId="0"/>
    <xf numFmtId="0" fontId="9" fillId="0" borderId="0"/>
    <xf numFmtId="0" fontId="9" fillId="0" borderId="0"/>
    <xf numFmtId="0" fontId="27" fillId="0" borderId="0"/>
    <xf numFmtId="0" fontId="59" fillId="0" borderId="0">
      <alignment wrapText="1"/>
    </xf>
    <xf numFmtId="0" fontId="8" fillId="0" borderId="0"/>
    <xf numFmtId="0" fontId="8" fillId="0" borderId="0">
      <alignment wrapText="1"/>
    </xf>
    <xf numFmtId="0" fontId="60" fillId="0" borderId="0"/>
    <xf numFmtId="0" fontId="8" fillId="0" borderId="0"/>
    <xf numFmtId="0" fontId="63" fillId="0" borderId="0"/>
    <xf numFmtId="0" fontId="8" fillId="0" borderId="0"/>
    <xf numFmtId="0" fontId="167" fillId="0" borderId="0"/>
    <xf numFmtId="0" fontId="68" fillId="0" borderId="0"/>
    <xf numFmtId="0" fontId="8" fillId="0" borderId="0"/>
    <xf numFmtId="0" fontId="81" fillId="0" borderId="0"/>
    <xf numFmtId="0" fontId="8" fillId="0" borderId="0"/>
    <xf numFmtId="0" fontId="83" fillId="0" borderId="0"/>
    <xf numFmtId="0" fontId="8" fillId="0" borderId="0"/>
    <xf numFmtId="0" fontId="168" fillId="0" borderId="0"/>
    <xf numFmtId="0" fontId="20" fillId="0" borderId="0"/>
    <xf numFmtId="0" fontId="8" fillId="0" borderId="0"/>
    <xf numFmtId="187" fontId="49" fillId="0" borderId="0"/>
    <xf numFmtId="0" fontId="8" fillId="0" borderId="0"/>
    <xf numFmtId="0" fontId="151" fillId="0" borderId="0"/>
    <xf numFmtId="0" fontId="151" fillId="0" borderId="0"/>
    <xf numFmtId="0" fontId="8" fillId="0" borderId="0"/>
    <xf numFmtId="0" fontId="165" fillId="0" borderId="0"/>
    <xf numFmtId="0" fontId="169" fillId="0" borderId="0"/>
    <xf numFmtId="0" fontId="169" fillId="0" borderId="0"/>
    <xf numFmtId="0" fontId="20" fillId="0" borderId="0"/>
    <xf numFmtId="0" fontId="151" fillId="0" borderId="0"/>
    <xf numFmtId="0" fontId="151" fillId="0" borderId="0"/>
    <xf numFmtId="0" fontId="151" fillId="0" borderId="0"/>
    <xf numFmtId="0" fontId="8" fillId="0" borderId="0"/>
    <xf numFmtId="0" fontId="9"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49"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49"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20" fillId="0" borderId="0"/>
    <xf numFmtId="0" fontId="151" fillId="0" borderId="0"/>
    <xf numFmtId="0" fontId="8"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87" fontId="49"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20" fillId="0" borderId="0"/>
    <xf numFmtId="188" fontId="49" fillId="0" borderId="0"/>
    <xf numFmtId="0" fontId="8" fillId="0" borderId="0"/>
    <xf numFmtId="0" fontId="20" fillId="0" borderId="0"/>
    <xf numFmtId="0" fontId="8" fillId="0" borderId="0"/>
    <xf numFmtId="187" fontId="49" fillId="0" borderId="0"/>
    <xf numFmtId="0" fontId="20" fillId="0" borderId="0"/>
    <xf numFmtId="0" fontId="8" fillId="0" borderId="0"/>
    <xf numFmtId="188" fontId="49" fillId="0" borderId="0"/>
    <xf numFmtId="0" fontId="151" fillId="0" borderId="0"/>
    <xf numFmtId="0" fontId="33" fillId="0" borderId="0"/>
    <xf numFmtId="0" fontId="8" fillId="0" borderId="0"/>
    <xf numFmtId="0" fontId="27" fillId="0" borderId="0"/>
    <xf numFmtId="0" fontId="33" fillId="11" borderId="6" applyNumberFormat="0" applyAlignment="0" applyProtection="0"/>
    <xf numFmtId="0" fontId="9" fillId="4" borderId="6" applyNumberFormat="0" applyAlignment="0" applyProtection="0"/>
    <xf numFmtId="187" fontId="49" fillId="13" borderId="6" applyAlignment="0" applyProtection="0"/>
    <xf numFmtId="187" fontId="49" fillId="13" borderId="6" applyAlignment="0" applyProtection="0"/>
    <xf numFmtId="0" fontId="9" fillId="4" borderId="6" applyNumberFormat="0" applyAlignment="0" applyProtection="0"/>
    <xf numFmtId="187" fontId="49" fillId="4" borderId="6" applyAlignment="0" applyProtection="0"/>
    <xf numFmtId="187" fontId="49" fillId="4" borderId="6" applyAlignment="0" applyProtection="0"/>
    <xf numFmtId="0" fontId="86" fillId="57" borderId="7" applyNumberFormat="0" applyFont="0" applyAlignment="0" applyProtection="0"/>
    <xf numFmtId="188" fontId="49" fillId="4" borderId="6" applyAlignment="0" applyProtection="0"/>
    <xf numFmtId="188" fontId="49" fillId="4" borderId="6" applyAlignment="0" applyProtection="0"/>
    <xf numFmtId="188" fontId="49" fillId="4" borderId="6" applyAlignment="0" applyProtection="0"/>
    <xf numFmtId="0" fontId="7" fillId="57" borderId="7" applyNumberFormat="0" applyFont="0" applyAlignment="0" applyProtection="0"/>
    <xf numFmtId="9" fontId="89" fillId="0" borderId="0" applyFont="0" applyFill="0" applyBorder="0" applyAlignment="0" applyProtection="0"/>
    <xf numFmtId="9" fontId="86" fillId="0" borderId="0" applyFont="0" applyFill="0" applyBorder="0" applyAlignment="0" applyProtection="0"/>
    <xf numFmtId="9" fontId="7" fillId="0" borderId="0" applyFont="0" applyFill="0" applyBorder="0" applyAlignment="0" applyProtection="0"/>
    <xf numFmtId="9" fontId="33" fillId="0" borderId="0" applyFill="0" applyBorder="0" applyAlignment="0" applyProtection="0"/>
    <xf numFmtId="9" fontId="86" fillId="0" borderId="0" applyFont="0" applyFill="0" applyBorder="0" applyAlignment="0" applyProtection="0"/>
    <xf numFmtId="9" fontId="33" fillId="0" borderId="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6"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0" fontId="21" fillId="5" borderId="8" applyNumberFormat="0" applyAlignment="0" applyProtection="0"/>
    <xf numFmtId="0" fontId="21" fillId="22" borderId="8" applyNumberFormat="0" applyAlignment="0" applyProtection="0"/>
    <xf numFmtId="187" fontId="21" fillId="4" borderId="8" applyAlignment="0" applyProtection="0"/>
    <xf numFmtId="187" fontId="21" fillId="4" borderId="8" applyAlignment="0" applyProtection="0"/>
    <xf numFmtId="0" fontId="21" fillId="22" borderId="8" applyNumberFormat="0" applyAlignment="0" applyProtection="0"/>
    <xf numFmtId="187" fontId="21" fillId="5" borderId="8" applyAlignment="0" applyProtection="0"/>
    <xf numFmtId="187" fontId="21" fillId="5" borderId="8" applyAlignment="0" applyProtection="0"/>
    <xf numFmtId="0" fontId="170" fillId="35" borderId="50" applyNumberFormat="0" applyAlignment="0" applyProtection="0"/>
    <xf numFmtId="188" fontId="21" fillId="22" borderId="8" applyAlignment="0" applyProtection="0"/>
    <xf numFmtId="188" fontId="21" fillId="22" borderId="8" applyAlignment="0" applyProtection="0"/>
    <xf numFmtId="188" fontId="21" fillId="22" borderId="8" applyAlignment="0" applyProtection="0"/>
    <xf numFmtId="197" fontId="8" fillId="0" borderId="0" applyFill="0" applyBorder="0" applyProtection="0">
      <alignment horizontal="right" vertical="center" wrapText="1"/>
    </xf>
    <xf numFmtId="0" fontId="22" fillId="0" borderId="0" applyNumberFormat="0" applyFill="0" applyBorder="0" applyAlignment="0" applyProtection="0"/>
    <xf numFmtId="0" fontId="22" fillId="0" borderId="0" applyNumberFormat="0" applyFill="0" applyBorder="0" applyAlignment="0" applyProtection="0"/>
    <xf numFmtId="187" fontId="22" fillId="0" borderId="0" applyFill="0" applyBorder="0" applyAlignment="0" applyProtection="0"/>
    <xf numFmtId="0" fontId="22" fillId="0" borderId="0" applyNumberFormat="0" applyFill="0" applyBorder="0" applyAlignment="0" applyProtection="0"/>
    <xf numFmtId="188" fontId="22" fillId="0" borderId="0" applyFill="0" applyBorder="0" applyAlignment="0" applyProtection="0"/>
    <xf numFmtId="0" fontId="1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7" fontId="23" fillId="0" borderId="0" applyFill="0" applyBorder="0" applyAlignment="0" applyProtection="0"/>
    <xf numFmtId="0" fontId="23" fillId="0" borderId="0" applyNumberFormat="0" applyFill="0" applyBorder="0" applyAlignment="0" applyProtection="0"/>
    <xf numFmtId="188" fontId="23" fillId="0" borderId="0" applyFill="0" applyBorder="0" applyAlignment="0" applyProtection="0"/>
    <xf numFmtId="0" fontId="90" fillId="0" borderId="0" applyNumberFormat="0" applyFill="0" applyBorder="0" applyAlignment="0" applyProtection="0"/>
    <xf numFmtId="0" fontId="24" fillId="0" borderId="0" applyNumberFormat="0" applyFill="0" applyBorder="0" applyAlignment="0" applyProtection="0"/>
    <xf numFmtId="0" fontId="41" fillId="0" borderId="9" applyNumberFormat="0" applyFill="0" applyAlignment="0" applyProtection="0"/>
    <xf numFmtId="187" fontId="50" fillId="0" borderId="10" applyFill="0" applyAlignment="0" applyProtection="0"/>
    <xf numFmtId="0" fontId="41" fillId="0" borderId="9" applyNumberFormat="0" applyFill="0" applyAlignment="0" applyProtection="0"/>
    <xf numFmtId="188" fontId="41" fillId="0" borderId="9" applyFill="0" applyAlignment="0" applyProtection="0"/>
    <xf numFmtId="0" fontId="157" fillId="0" borderId="5" applyNumberFormat="0" applyFill="0" applyAlignment="0" applyProtection="0"/>
    <xf numFmtId="0" fontId="25" fillId="0" borderId="11" applyNumberFormat="0" applyFill="0" applyAlignment="0" applyProtection="0"/>
    <xf numFmtId="0" fontId="42" fillId="0" borderId="11" applyNumberFormat="0" applyFill="0" applyAlignment="0" applyProtection="0"/>
    <xf numFmtId="187" fontId="25" fillId="0" borderId="11" applyFill="0" applyAlignment="0" applyProtection="0"/>
    <xf numFmtId="0" fontId="42" fillId="0" borderId="11" applyNumberFormat="0" applyFill="0" applyAlignment="0" applyProtection="0"/>
    <xf numFmtId="188" fontId="42" fillId="0" borderId="11" applyFill="0" applyAlignment="0" applyProtection="0"/>
    <xf numFmtId="0" fontId="172" fillId="0" borderId="12" applyNumberFormat="0" applyFill="0" applyAlignment="0" applyProtection="0"/>
    <xf numFmtId="0" fontId="15" fillId="0" borderId="13" applyNumberFormat="0" applyFill="0" applyAlignment="0" applyProtection="0"/>
    <xf numFmtId="0" fontId="39" fillId="0" borderId="14" applyNumberFormat="0" applyFill="0" applyAlignment="0" applyProtection="0"/>
    <xf numFmtId="187" fontId="15" fillId="0" borderId="13" applyFill="0" applyAlignment="0" applyProtection="0"/>
    <xf numFmtId="0" fontId="39" fillId="0" borderId="14" applyNumberFormat="0" applyFill="0" applyAlignment="0" applyProtection="0"/>
    <xf numFmtId="188" fontId="39" fillId="0" borderId="14" applyFill="0" applyAlignment="0" applyProtection="0"/>
    <xf numFmtId="0" fontId="158" fillId="0" borderId="15" applyNumberFormat="0" applyFill="0" applyAlignment="0" applyProtection="0"/>
    <xf numFmtId="0" fontId="40" fillId="0" borderId="0" applyNumberFormat="0" applyFill="0" applyBorder="0" applyAlignment="0" applyProtection="0"/>
    <xf numFmtId="187" fontId="24" fillId="0" borderId="0" applyFill="0" applyBorder="0" applyAlignment="0" applyProtection="0"/>
    <xf numFmtId="0" fontId="40" fillId="0" borderId="0" applyNumberFormat="0" applyFill="0" applyBorder="0" applyAlignment="0" applyProtection="0"/>
    <xf numFmtId="188" fontId="40" fillId="0" borderId="0" applyFill="0" applyBorder="0" applyAlignment="0" applyProtection="0"/>
    <xf numFmtId="0" fontId="173" fillId="0" borderId="0" applyNumberFormat="0" applyFill="0" applyBorder="0" applyAlignment="0" applyProtection="0"/>
    <xf numFmtId="0" fontId="26" fillId="0" borderId="16" applyNumberFormat="0" applyFill="0" applyAlignment="0" applyProtection="0"/>
    <xf numFmtId="0" fontId="26" fillId="0" borderId="17" applyNumberFormat="0" applyFill="0" applyAlignment="0" applyProtection="0"/>
    <xf numFmtId="187" fontId="26" fillId="0" borderId="16" applyFill="0" applyAlignment="0" applyProtection="0"/>
    <xf numFmtId="187" fontId="26" fillId="0" borderId="16" applyFill="0" applyAlignment="0" applyProtection="0"/>
    <xf numFmtId="187" fontId="145" fillId="0" borderId="16" applyFill="0" applyAlignment="0" applyProtection="0"/>
    <xf numFmtId="187" fontId="145" fillId="0" borderId="16" applyFill="0" applyAlignment="0" applyProtection="0"/>
    <xf numFmtId="0" fontId="26" fillId="0" borderId="17" applyNumberFormat="0" applyFill="0" applyAlignment="0" applyProtection="0"/>
    <xf numFmtId="188" fontId="26" fillId="0" borderId="17" applyFill="0" applyAlignment="0" applyProtection="0"/>
    <xf numFmtId="188" fontId="26" fillId="0" borderId="17" applyFill="0" applyAlignment="0" applyProtection="0"/>
    <xf numFmtId="188" fontId="145" fillId="0" borderId="17" applyFill="0" applyAlignment="0" applyProtection="0"/>
    <xf numFmtId="188" fontId="145" fillId="0" borderId="17" applyFill="0" applyAlignment="0" applyProtection="0"/>
    <xf numFmtId="0" fontId="174" fillId="0" borderId="18" applyNumberFormat="0" applyFill="0" applyAlignment="0" applyProtection="0"/>
    <xf numFmtId="0" fontId="6" fillId="0" borderId="0"/>
    <xf numFmtId="0" fontId="186" fillId="0" borderId="0"/>
    <xf numFmtId="0" fontId="5" fillId="0" borderId="0"/>
    <xf numFmtId="0" fontId="206" fillId="0" borderId="0"/>
    <xf numFmtId="0" fontId="4" fillId="0" borderId="0"/>
    <xf numFmtId="0" fontId="3" fillId="0" borderId="0"/>
    <xf numFmtId="0" fontId="2" fillId="0" borderId="0"/>
    <xf numFmtId="0" fontId="18" fillId="51"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1375">
    <xf numFmtId="0" fontId="0" fillId="0" borderId="0" xfId="0"/>
    <xf numFmtId="0" fontId="30" fillId="0" borderId="0" xfId="0" applyFont="1"/>
    <xf numFmtId="0" fontId="30" fillId="0" borderId="0" xfId="0" applyFont="1" applyBorder="1"/>
    <xf numFmtId="0" fontId="30" fillId="0" borderId="0" xfId="0" applyFont="1" applyAlignment="1" applyProtection="1">
      <alignment horizontal="right"/>
    </xf>
    <xf numFmtId="0" fontId="31" fillId="0" borderId="0" xfId="0" applyFont="1"/>
    <xf numFmtId="3" fontId="31" fillId="0" borderId="0" xfId="0" applyNumberFormat="1" applyFont="1"/>
    <xf numFmtId="3" fontId="31" fillId="0" borderId="0" xfId="0" applyNumberFormat="1" applyFont="1" applyBorder="1"/>
    <xf numFmtId="0" fontId="31" fillId="0" borderId="0" xfId="0" applyFont="1" applyBorder="1"/>
    <xf numFmtId="0" fontId="30" fillId="0" borderId="0" xfId="0" applyFont="1" applyBorder="1" applyAlignment="1">
      <alignment horizontal="center"/>
    </xf>
    <xf numFmtId="0" fontId="30" fillId="0" borderId="0" xfId="0" applyFont="1" applyAlignment="1">
      <alignment horizontal="center"/>
    </xf>
    <xf numFmtId="173" fontId="30" fillId="0" borderId="0" xfId="0" applyNumberFormat="1" applyFont="1" applyBorder="1"/>
    <xf numFmtId="0" fontId="30" fillId="0" borderId="0" xfId="0" applyFont="1" applyBorder="1" applyAlignment="1" applyProtection="1">
      <alignment horizontal="left"/>
    </xf>
    <xf numFmtId="2" fontId="28" fillId="0" borderId="0" xfId="0" applyNumberFormat="1" applyFont="1"/>
    <xf numFmtId="0" fontId="20" fillId="0" borderId="0" xfId="0" applyFont="1" applyAlignment="1">
      <alignment vertical="center"/>
    </xf>
    <xf numFmtId="0" fontId="30" fillId="0" borderId="0" xfId="0" applyFont="1" applyBorder="1" applyAlignment="1"/>
    <xf numFmtId="4" fontId="30" fillId="0" borderId="0" xfId="0" applyNumberFormat="1" applyFont="1"/>
    <xf numFmtId="0" fontId="30" fillId="0" borderId="0" xfId="0" applyFont="1" applyAlignment="1"/>
    <xf numFmtId="37" fontId="30" fillId="0" borderId="0" xfId="0" applyNumberFormat="1" applyFont="1"/>
    <xf numFmtId="9" fontId="33" fillId="0" borderId="0" xfId="1900"/>
    <xf numFmtId="3" fontId="30" fillId="0" borderId="0" xfId="0" applyNumberFormat="1" applyFont="1" applyBorder="1" applyAlignment="1"/>
    <xf numFmtId="9" fontId="28" fillId="0" borderId="0" xfId="1900" applyFont="1"/>
    <xf numFmtId="0" fontId="20" fillId="0" borderId="0" xfId="0" applyFont="1"/>
    <xf numFmtId="0" fontId="20" fillId="0" borderId="0" xfId="0" applyFont="1" applyAlignment="1"/>
    <xf numFmtId="0" fontId="35" fillId="0" borderId="0" xfId="0" applyFont="1"/>
    <xf numFmtId="0" fontId="36" fillId="0" borderId="0" xfId="0" applyFont="1"/>
    <xf numFmtId="0" fontId="35" fillId="0" borderId="0" xfId="0" applyFont="1" applyBorder="1" applyAlignment="1">
      <alignment horizontal="center"/>
    </xf>
    <xf numFmtId="0" fontId="35" fillId="0" borderId="0" xfId="0" applyFont="1" applyAlignment="1"/>
    <xf numFmtId="0" fontId="29" fillId="0" borderId="0" xfId="0" applyFont="1"/>
    <xf numFmtId="0" fontId="35" fillId="0" borderId="0" xfId="0" applyFont="1" applyAlignment="1">
      <alignment horizont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applyBorder="1"/>
    <xf numFmtId="0" fontId="35" fillId="0" borderId="0" xfId="0" applyFont="1" applyBorder="1" applyAlignment="1"/>
    <xf numFmtId="0" fontId="91" fillId="0" borderId="0" xfId="0" applyFont="1"/>
    <xf numFmtId="0" fontId="92" fillId="0" borderId="0" xfId="0" applyFont="1"/>
    <xf numFmtId="0" fontId="8" fillId="0" borderId="0" xfId="0" applyFont="1"/>
    <xf numFmtId="0" fontId="8" fillId="0" borderId="0" xfId="0" applyFont="1" applyAlignment="1"/>
    <xf numFmtId="3" fontId="20" fillId="0" borderId="0" xfId="0" applyNumberFormat="1" applyFont="1"/>
    <xf numFmtId="3" fontId="35" fillId="0" borderId="0" xfId="0" applyNumberFormat="1" applyFont="1"/>
    <xf numFmtId="0" fontId="8" fillId="0" borderId="19" xfId="0" applyFont="1" applyBorder="1" applyAlignment="1">
      <alignment horizontal="left"/>
    </xf>
    <xf numFmtId="4" fontId="20" fillId="0" borderId="0" xfId="0" applyNumberFormat="1" applyFont="1"/>
    <xf numFmtId="3" fontId="32" fillId="0" borderId="0" xfId="0" applyNumberFormat="1" applyFont="1"/>
    <xf numFmtId="0" fontId="30" fillId="0" borderId="0" xfId="0" applyFont="1" applyAlignment="1">
      <alignment horizontal="left"/>
    </xf>
    <xf numFmtId="17" fontId="8" fillId="0" borderId="19" xfId="0" applyNumberFormat="1" applyFont="1" applyBorder="1" applyAlignment="1">
      <alignment horizontal="center"/>
    </xf>
    <xf numFmtId="0" fontId="20" fillId="0" borderId="0" xfId="0" applyFont="1" applyBorder="1"/>
    <xf numFmtId="4" fontId="8" fillId="0" borderId="0" xfId="0" applyNumberFormat="1" applyFont="1"/>
    <xf numFmtId="0" fontId="8" fillId="0" borderId="0" xfId="0" applyFont="1" applyBorder="1"/>
    <xf numFmtId="175" fontId="32" fillId="0" borderId="0" xfId="1900" applyNumberFormat="1" applyFont="1" applyAlignment="1">
      <alignment vertical="center"/>
    </xf>
    <xf numFmtId="0" fontId="93" fillId="0" borderId="0" xfId="0" applyFont="1"/>
    <xf numFmtId="0" fontId="8" fillId="0" borderId="0" xfId="0" quotePrefix="1" applyFont="1" applyFill="1" applyBorder="1" applyAlignment="1">
      <alignment vertical="center"/>
    </xf>
    <xf numFmtId="3" fontId="20" fillId="0" borderId="0" xfId="1153" applyNumberFormat="1" applyFont="1" applyFill="1" applyBorder="1" applyAlignment="1">
      <alignment vertical="center"/>
    </xf>
    <xf numFmtId="37" fontId="20" fillId="0" borderId="0" xfId="0" applyNumberFormat="1" applyFont="1"/>
    <xf numFmtId="173" fontId="20" fillId="0" borderId="0" xfId="0" applyNumberFormat="1" applyFont="1" applyAlignment="1">
      <alignment vertical="center"/>
    </xf>
    <xf numFmtId="0" fontId="30" fillId="0" borderId="0" xfId="0" applyFont="1" applyFill="1" applyBorder="1" applyAlignment="1">
      <alignment vertical="center" wrapText="1"/>
    </xf>
    <xf numFmtId="3" fontId="20" fillId="0" borderId="0" xfId="0" applyNumberFormat="1" applyFont="1" applyBorder="1" applyAlignment="1">
      <alignment vertical="center"/>
    </xf>
    <xf numFmtId="0" fontId="20" fillId="0" borderId="0" xfId="0" quotePrefix="1" applyFont="1" applyFill="1" applyBorder="1" applyAlignment="1">
      <alignment vertical="center"/>
    </xf>
    <xf numFmtId="0" fontId="30" fillId="0" borderId="0" xfId="0" applyFont="1" applyBorder="1" applyAlignment="1" applyProtection="1"/>
    <xf numFmtId="176" fontId="20" fillId="0" borderId="0" xfId="0" applyNumberFormat="1" applyFont="1" applyAlignment="1">
      <alignment vertical="center"/>
    </xf>
    <xf numFmtId="183" fontId="30" fillId="0" borderId="0" xfId="0" applyNumberFormat="1" applyFont="1"/>
    <xf numFmtId="0" fontId="35" fillId="0" borderId="0" xfId="0" applyFont="1" applyBorder="1" applyAlignment="1">
      <alignment horizontal="center" vertical="center"/>
    </xf>
    <xf numFmtId="0" fontId="8" fillId="0" borderId="19" xfId="0" applyFont="1" applyBorder="1" applyAlignment="1">
      <alignment horizontal="center" wrapText="1"/>
    </xf>
    <xf numFmtId="0" fontId="8" fillId="0" borderId="19" xfId="1882" quotePrefix="1" applyFont="1" applyFill="1" applyBorder="1" applyAlignment="1">
      <alignment vertical="center"/>
    </xf>
    <xf numFmtId="0" fontId="8" fillId="0" borderId="0" xfId="1882" applyFont="1" applyBorder="1" applyAlignment="1">
      <alignment vertical="center"/>
    </xf>
    <xf numFmtId="0" fontId="8" fillId="0" borderId="0" xfId="0" applyFont="1" applyFill="1" applyBorder="1" applyAlignment="1">
      <alignment vertical="center" wrapText="1"/>
    </xf>
    <xf numFmtId="0" fontId="88" fillId="0" borderId="19" xfId="0" applyFont="1" applyBorder="1" applyAlignment="1">
      <alignment horizontal="left"/>
    </xf>
    <xf numFmtId="164" fontId="20" fillId="0" borderId="0" xfId="0" applyNumberFormat="1" applyFont="1" applyAlignment="1">
      <alignment vertical="center"/>
    </xf>
    <xf numFmtId="179" fontId="20" fillId="0" borderId="0" xfId="0" applyNumberFormat="1" applyFont="1" applyAlignment="1">
      <alignment vertical="center"/>
    </xf>
    <xf numFmtId="178" fontId="28" fillId="0" borderId="0" xfId="1152" applyFont="1" applyBorder="1"/>
    <xf numFmtId="0" fontId="43" fillId="0" borderId="0" xfId="0" applyFont="1"/>
    <xf numFmtId="3" fontId="28" fillId="0" borderId="0" xfId="0" applyNumberFormat="1" applyFont="1"/>
    <xf numFmtId="0" fontId="8" fillId="0" borderId="0" xfId="0" applyFont="1" applyAlignment="1">
      <alignment vertical="center"/>
    </xf>
    <xf numFmtId="9" fontId="8" fillId="0" borderId="19" xfId="0" applyNumberFormat="1" applyFont="1" applyFill="1" applyBorder="1" applyAlignment="1">
      <alignment horizontal="center" wrapText="1"/>
    </xf>
    <xf numFmtId="190" fontId="8" fillId="0" borderId="0" xfId="0" applyNumberFormat="1" applyFont="1" applyAlignment="1">
      <alignment wrapText="1"/>
    </xf>
    <xf numFmtId="0" fontId="94" fillId="0" borderId="0" xfId="0" applyFont="1"/>
    <xf numFmtId="4" fontId="20" fillId="0" borderId="0" xfId="1153" applyNumberFormat="1" applyFont="1" applyFill="1" applyBorder="1" applyAlignment="1">
      <alignment vertical="center"/>
    </xf>
    <xf numFmtId="3" fontId="95" fillId="0" borderId="0" xfId="0" applyNumberFormat="1" applyFont="1" applyBorder="1" applyAlignment="1">
      <alignment horizontal="center" vertical="center"/>
    </xf>
    <xf numFmtId="0" fontId="96" fillId="0" borderId="0" xfId="1224" applyFont="1" applyAlignment="1">
      <alignment vertical="center"/>
    </xf>
    <xf numFmtId="0" fontId="97" fillId="0" borderId="0" xfId="0" applyFont="1"/>
    <xf numFmtId="0" fontId="98" fillId="0" borderId="0" xfId="1884" applyFont="1" applyBorder="1" applyAlignment="1" applyProtection="1">
      <alignment horizontal="center" vertical="center"/>
    </xf>
    <xf numFmtId="0" fontId="98" fillId="0" borderId="20" xfId="1884" applyFont="1" applyBorder="1" applyAlignment="1" applyProtection="1">
      <alignment horizontal="left" vertical="center"/>
    </xf>
    <xf numFmtId="0" fontId="98" fillId="0" borderId="20" xfId="1884" applyFont="1" applyBorder="1" applyAlignment="1" applyProtection="1">
      <alignment vertical="center"/>
    </xf>
    <xf numFmtId="0" fontId="98" fillId="0" borderId="20" xfId="1884" applyFont="1" applyBorder="1" applyAlignment="1" applyProtection="1">
      <alignment horizontal="center" vertical="center"/>
    </xf>
    <xf numFmtId="17" fontId="99" fillId="0" borderId="0" xfId="1224" applyNumberFormat="1" applyFont="1" applyAlignment="1">
      <alignment horizontal="left" vertical="center"/>
    </xf>
    <xf numFmtId="0" fontId="100" fillId="0" borderId="0" xfId="1884" applyFont="1" applyBorder="1" applyAlignment="1" applyProtection="1">
      <alignment vertical="center"/>
    </xf>
    <xf numFmtId="0" fontId="100" fillId="0" borderId="0" xfId="1884" applyFont="1" applyBorder="1" applyAlignment="1" applyProtection="1">
      <alignment horizontal="left" vertical="center"/>
    </xf>
    <xf numFmtId="0" fontId="98" fillId="0" borderId="0" xfId="1884" applyFont="1" applyBorder="1" applyAlignment="1" applyProtection="1">
      <alignment horizontal="left" vertical="center"/>
    </xf>
    <xf numFmtId="0" fontId="100" fillId="0" borderId="0" xfId="0" applyFont="1" applyAlignment="1">
      <alignment vertical="center"/>
    </xf>
    <xf numFmtId="0" fontId="8" fillId="0" borderId="21" xfId="0" applyFont="1" applyBorder="1" applyAlignment="1">
      <alignment horizontal="center" vertical="center"/>
    </xf>
    <xf numFmtId="189" fontId="8" fillId="0" borderId="19" xfId="1152" applyNumberFormat="1" applyFont="1" applyFill="1" applyBorder="1" applyAlignment="1">
      <alignment horizontal="center" vertical="center"/>
    </xf>
    <xf numFmtId="3" fontId="8" fillId="0" borderId="19" xfId="0" applyNumberFormat="1" applyFont="1" applyFill="1" applyBorder="1" applyAlignment="1">
      <alignment horizontal="center"/>
    </xf>
    <xf numFmtId="0" fontId="8" fillId="0" borderId="19" xfId="0" applyFont="1" applyFill="1" applyBorder="1" applyAlignment="1"/>
    <xf numFmtId="0" fontId="8" fillId="0" borderId="22" xfId="0" applyFont="1" applyFill="1" applyBorder="1" applyAlignment="1">
      <alignment wrapText="1"/>
    </xf>
    <xf numFmtId="0" fontId="30" fillId="0" borderId="0" xfId="0" applyFont="1" applyBorder="1" applyAlignment="1" applyProtection="1">
      <alignment vertical="center"/>
    </xf>
    <xf numFmtId="2" fontId="30" fillId="0" borderId="0" xfId="0" applyNumberFormat="1" applyFont="1" applyBorder="1" applyAlignment="1" applyProtection="1">
      <alignment vertical="center"/>
    </xf>
    <xf numFmtId="0" fontId="8" fillId="0" borderId="19" xfId="0" applyFont="1" applyBorder="1" applyAlignment="1">
      <alignment horizontal="center" vertical="center"/>
    </xf>
    <xf numFmtId="0" fontId="8" fillId="0" borderId="19" xfId="0" applyFont="1" applyBorder="1" applyAlignment="1" applyProtection="1">
      <alignment horizontal="center"/>
    </xf>
    <xf numFmtId="0" fontId="8" fillId="0" borderId="19" xfId="0" applyFont="1" applyBorder="1" applyAlignment="1">
      <alignment horizontal="left" vertical="center"/>
    </xf>
    <xf numFmtId="173" fontId="32" fillId="0" borderId="0" xfId="1900" applyNumberFormat="1" applyFont="1" applyAlignment="1">
      <alignment vertical="center"/>
    </xf>
    <xf numFmtId="9" fontId="20" fillId="0" borderId="0" xfId="0" applyNumberFormat="1" applyFont="1"/>
    <xf numFmtId="173" fontId="8" fillId="0" borderId="0" xfId="1882" applyNumberFormat="1" applyFont="1" applyFill="1" applyBorder="1" applyAlignment="1">
      <alignment vertical="center"/>
    </xf>
    <xf numFmtId="9" fontId="20" fillId="0" borderId="0" xfId="0" quotePrefix="1" applyNumberFormat="1" applyFont="1" applyFill="1" applyBorder="1" applyAlignment="1">
      <alignment vertical="center"/>
    </xf>
    <xf numFmtId="173" fontId="43" fillId="0" borderId="0" xfId="1900" applyNumberFormat="1" applyFont="1" applyBorder="1"/>
    <xf numFmtId="0" fontId="8" fillId="0" borderId="19" xfId="0" applyFont="1" applyBorder="1" applyAlignment="1">
      <alignment horizontal="left" wrapText="1"/>
    </xf>
    <xf numFmtId="2" fontId="32" fillId="0" borderId="0" xfId="1900" applyNumberFormat="1" applyFont="1" applyAlignment="1">
      <alignment vertical="center"/>
    </xf>
    <xf numFmtId="0" fontId="20" fillId="0" borderId="0" xfId="0" applyFont="1" applyFill="1"/>
    <xf numFmtId="0" fontId="31" fillId="0" borderId="0" xfId="0" applyFont="1" applyAlignment="1">
      <alignment wrapText="1"/>
    </xf>
    <xf numFmtId="0" fontId="93" fillId="0" borderId="0" xfId="0" applyFont="1" applyAlignment="1">
      <alignment wrapText="1"/>
    </xf>
    <xf numFmtId="0" fontId="101" fillId="0" borderId="0" xfId="0" applyFont="1"/>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2"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8"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8" fillId="0" borderId="19" xfId="0" applyNumberFormat="1" applyFont="1" applyBorder="1" applyAlignment="1" applyProtection="1">
      <alignment horizontal="center" vertical="center"/>
    </xf>
    <xf numFmtId="175" fontId="32" fillId="0" borderId="19" xfId="1900" applyNumberFormat="1" applyFont="1" applyBorder="1" applyAlignment="1" applyProtection="1">
      <alignment horizontal="center" vertical="center"/>
    </xf>
    <xf numFmtId="184" fontId="8" fillId="0" borderId="19" xfId="0" applyNumberFormat="1" applyFont="1" applyBorder="1" applyAlignment="1" applyProtection="1">
      <alignment horizontal="center" vertical="center"/>
    </xf>
    <xf numFmtId="3" fontId="20" fillId="0" borderId="19" xfId="0" applyNumberFormat="1" applyFont="1" applyBorder="1" applyAlignment="1">
      <alignment horizontal="center" vertical="center"/>
    </xf>
    <xf numFmtId="3" fontId="8" fillId="0" borderId="19" xfId="0" applyNumberFormat="1" applyFont="1" applyBorder="1" applyAlignment="1">
      <alignment horizontal="center" vertical="center"/>
    </xf>
    <xf numFmtId="180" fontId="33"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8" fillId="0" borderId="0" xfId="0" applyFont="1" applyBorder="1" applyAlignment="1">
      <alignment horizontal="center"/>
    </xf>
    <xf numFmtId="0" fontId="56" fillId="0" borderId="0" xfId="0" applyFont="1" applyBorder="1" applyAlignment="1">
      <alignment horizontal="justify" vertical="center" wrapText="1"/>
    </xf>
    <xf numFmtId="0" fontId="30" fillId="0" borderId="0" xfId="1882" applyFont="1" applyBorder="1" applyProtection="1"/>
    <xf numFmtId="0" fontId="8" fillId="0" borderId="0" xfId="0" applyFont="1" applyFill="1" applyAlignment="1"/>
    <xf numFmtId="0" fontId="8" fillId="0" borderId="0" xfId="0" applyFont="1" applyFill="1"/>
    <xf numFmtId="0" fontId="105" fillId="0" borderId="0" xfId="0" applyFont="1" applyFill="1"/>
    <xf numFmtId="175" fontId="8" fillId="0" borderId="0" xfId="0" applyNumberFormat="1" applyFont="1"/>
    <xf numFmtId="0" fontId="107" fillId="0" borderId="0" xfId="1136" applyFont="1" applyBorder="1" applyAlignment="1" applyProtection="1">
      <alignment horizontal="center" vertical="center"/>
    </xf>
    <xf numFmtId="4" fontId="104" fillId="0" borderId="0" xfId="0" applyNumberFormat="1" applyFont="1" applyFill="1"/>
    <xf numFmtId="0" fontId="20" fillId="0" borderId="0" xfId="0" applyNumberFormat="1" applyFont="1"/>
    <xf numFmtId="0" fontId="8" fillId="0" borderId="0" xfId="0" applyFont="1" applyFill="1" applyBorder="1"/>
    <xf numFmtId="0" fontId="103" fillId="0" borderId="0" xfId="0" applyFont="1" applyBorder="1" applyAlignment="1">
      <alignment horizontal="center" wrapText="1"/>
    </xf>
    <xf numFmtId="0" fontId="61" fillId="0" borderId="0" xfId="1265" applyFont="1" applyAlignment="1" applyProtection="1">
      <alignment horizontal="right" wrapText="1" readingOrder="1"/>
      <protection locked="0"/>
    </xf>
    <xf numFmtId="0" fontId="35" fillId="0" borderId="0" xfId="0" applyFont="1" applyFill="1"/>
    <xf numFmtId="0" fontId="30" fillId="0" borderId="0" xfId="0" applyFont="1" applyFill="1"/>
    <xf numFmtId="183" fontId="30" fillId="0" borderId="0" xfId="0" applyNumberFormat="1" applyFont="1" applyFill="1"/>
    <xf numFmtId="0" fontId="30" fillId="0" borderId="0" xfId="0" applyFont="1" applyFill="1" applyAlignment="1"/>
    <xf numFmtId="0" fontId="0" fillId="0" borderId="0" xfId="0" applyFill="1"/>
    <xf numFmtId="0" fontId="88" fillId="0" borderId="0" xfId="0" applyFont="1"/>
    <xf numFmtId="3" fontId="8" fillId="0" borderId="19" xfId="0" applyNumberFormat="1" applyFont="1" applyBorder="1" applyAlignment="1">
      <alignment horizontal="center"/>
    </xf>
    <xf numFmtId="192" fontId="62" fillId="0" borderId="0" xfId="0" applyNumberFormat="1" applyFont="1" applyFill="1" applyBorder="1" applyAlignment="1">
      <alignment vertical="top" wrapText="1"/>
    </xf>
    <xf numFmtId="176" fontId="8" fillId="0" borderId="21" xfId="0" applyNumberFormat="1" applyFont="1" applyBorder="1" applyAlignment="1">
      <alignment horizontal="center" vertical="center"/>
    </xf>
    <xf numFmtId="0" fontId="8" fillId="0" borderId="19" xfId="0" applyFont="1" applyFill="1" applyBorder="1" applyAlignment="1">
      <alignment horizontal="left" vertical="center"/>
    </xf>
    <xf numFmtId="174" fontId="8" fillId="0" borderId="19" xfId="0" applyNumberFormat="1" applyFont="1" applyBorder="1" applyAlignment="1" applyProtection="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8" fillId="0" borderId="0" xfId="1882" quotePrefix="1" applyFont="1" applyFill="1" applyBorder="1" applyAlignment="1">
      <alignment vertical="center"/>
    </xf>
    <xf numFmtId="195" fontId="65" fillId="53" borderId="0" xfId="1267" applyNumberFormat="1" applyFont="1" applyFill="1" applyBorder="1" applyAlignment="1" applyProtection="1">
      <alignment horizontal="right" vertical="top" wrapText="1" readingOrder="1"/>
      <protection locked="0"/>
    </xf>
    <xf numFmtId="0" fontId="64" fillId="0" borderId="0" xfId="1267" applyFont="1" applyBorder="1" applyAlignment="1" applyProtection="1">
      <alignment horizontal="center" vertical="top" wrapText="1" readingOrder="1"/>
      <protection locked="0"/>
    </xf>
    <xf numFmtId="194" fontId="65" fillId="53" borderId="0" xfId="1267" applyNumberFormat="1" applyFont="1" applyFill="1" applyBorder="1" applyAlignment="1" applyProtection="1">
      <alignment horizontal="right" vertical="top" wrapText="1" readingOrder="1"/>
      <protection locked="0"/>
    </xf>
    <xf numFmtId="9" fontId="28" fillId="0" borderId="0" xfId="1900" applyFont="1" applyFill="1" applyBorder="1" applyAlignment="1">
      <alignment vertical="center"/>
    </xf>
    <xf numFmtId="173" fontId="20" fillId="0" borderId="0" xfId="0" applyNumberFormat="1" applyFont="1" applyFill="1" applyBorder="1" applyAlignment="1">
      <alignment vertical="center"/>
    </xf>
    <xf numFmtId="192" fontId="103" fillId="0" borderId="0" xfId="0" applyNumberFormat="1" applyFont="1" applyBorder="1" applyAlignment="1">
      <alignment wrapText="1"/>
    </xf>
    <xf numFmtId="194" fontId="65" fillId="0" borderId="0" xfId="1267" applyNumberFormat="1" applyFont="1" applyFill="1" applyBorder="1" applyAlignment="1" applyProtection="1">
      <alignment horizontal="right" vertical="top" wrapText="1" readingOrder="1"/>
      <protection locked="0"/>
    </xf>
    <xf numFmtId="194" fontId="64" fillId="0" borderId="0" xfId="1267" applyNumberFormat="1" applyFont="1" applyFill="1" applyBorder="1" applyAlignment="1" applyProtection="1">
      <alignment horizontal="right" vertical="top" wrapText="1" readingOrder="1"/>
      <protection locked="0"/>
    </xf>
    <xf numFmtId="3" fontId="20" fillId="0" borderId="0" xfId="0" applyNumberFormat="1" applyFont="1" applyFill="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64" fillId="0" borderId="0" xfId="1267" applyFont="1" applyFill="1" applyBorder="1" applyAlignment="1" applyProtection="1">
      <alignment horizontal="center" vertical="top" wrapText="1" readingOrder="1"/>
      <protection locked="0"/>
    </xf>
    <xf numFmtId="195" fontId="65" fillId="0" borderId="0" xfId="1267" applyNumberFormat="1" applyFont="1" applyFill="1" applyBorder="1" applyAlignment="1" applyProtection="1">
      <alignment horizontal="right" vertical="top" wrapText="1" readingOrder="1"/>
      <protection locked="0"/>
    </xf>
    <xf numFmtId="3" fontId="20" fillId="0" borderId="0" xfId="0" applyNumberFormat="1" applyFont="1" applyFill="1" applyAlignment="1">
      <alignment vertical="center"/>
    </xf>
    <xf numFmtId="173" fontId="20" fillId="0" borderId="0" xfId="0" applyNumberFormat="1" applyFont="1" applyFill="1" applyAlignment="1">
      <alignment vertical="center"/>
    </xf>
    <xf numFmtId="0" fontId="65" fillId="0" borderId="0" xfId="1267" applyFont="1" applyFill="1" applyBorder="1" applyAlignment="1" applyProtection="1">
      <alignment vertical="top" wrapText="1" readingOrder="1"/>
      <protection locked="0"/>
    </xf>
    <xf numFmtId="195" fontId="64" fillId="0" borderId="0" xfId="1267" applyNumberFormat="1" applyFont="1" applyFill="1" applyBorder="1" applyAlignment="1" applyProtection="1">
      <alignment horizontal="right" vertical="top" wrapText="1" readingOrder="1"/>
      <protection locked="0"/>
    </xf>
    <xf numFmtId="3" fontId="35" fillId="0" borderId="0" xfId="0" applyNumberFormat="1" applyFont="1" applyFill="1" applyBorder="1" applyAlignment="1">
      <alignment vertical="center"/>
    </xf>
    <xf numFmtId="173" fontId="35" fillId="0" borderId="0" xfId="0" applyNumberFormat="1" applyFont="1" applyFill="1" applyBorder="1" applyAlignment="1">
      <alignment vertical="center"/>
    </xf>
    <xf numFmtId="0" fontId="35" fillId="0" borderId="0" xfId="0" applyFont="1" applyFill="1" applyBorder="1" applyAlignment="1">
      <alignment vertical="center"/>
    </xf>
    <xf numFmtId="0" fontId="8" fillId="0" borderId="0" xfId="0" applyFont="1" applyFill="1" applyBorder="1" applyAlignment="1">
      <alignment vertical="center"/>
    </xf>
    <xf numFmtId="9" fontId="32" fillId="0" borderId="0" xfId="1900" applyFont="1" applyFill="1" applyBorder="1" applyAlignment="1">
      <alignment vertical="center"/>
    </xf>
    <xf numFmtId="0" fontId="108" fillId="0" borderId="0" xfId="0" applyFont="1"/>
    <xf numFmtId="0" fontId="109" fillId="0" borderId="0" xfId="0" applyFont="1"/>
    <xf numFmtId="0" fontId="92" fillId="0" borderId="0" xfId="0" applyFont="1" applyBorder="1" applyAlignment="1"/>
    <xf numFmtId="173" fontId="108" fillId="0" borderId="0" xfId="0" applyNumberFormat="1" applyFont="1" applyBorder="1"/>
    <xf numFmtId="0" fontId="110" fillId="0" borderId="0" xfId="1224" applyFont="1" applyAlignment="1">
      <alignment vertical="center"/>
    </xf>
    <xf numFmtId="176" fontId="0" fillId="0" borderId="0" xfId="0" applyNumberFormat="1"/>
    <xf numFmtId="0" fontId="109" fillId="0" borderId="0" xfId="0" applyFont="1" applyAlignment="1">
      <alignment vertical="center"/>
    </xf>
    <xf numFmtId="9" fontId="91" fillId="0" borderId="0" xfId="0" applyNumberFormat="1" applyFont="1"/>
    <xf numFmtId="198" fontId="8" fillId="0" borderId="0" xfId="0" applyNumberFormat="1" applyFont="1"/>
    <xf numFmtId="0" fontId="8" fillId="0" borderId="19" xfId="0" applyNumberFormat="1" applyFont="1" applyBorder="1" applyAlignment="1">
      <alignment horizontal="left"/>
    </xf>
    <xf numFmtId="0" fontId="0" fillId="0" borderId="0" xfId="0" applyNumberFormat="1" applyBorder="1"/>
    <xf numFmtId="0" fontId="88" fillId="0" borderId="0" xfId="0" applyFont="1" applyFill="1" applyBorder="1" applyAlignment="1"/>
    <xf numFmtId="0" fontId="105" fillId="0" borderId="0" xfId="0" applyFont="1" applyFill="1" applyBorder="1" applyAlignment="1"/>
    <xf numFmtId="192" fontId="69" fillId="0" borderId="0" xfId="0" applyNumberFormat="1" applyFont="1" applyFill="1" applyBorder="1" applyAlignment="1">
      <alignment vertical="top" wrapText="1"/>
    </xf>
    <xf numFmtId="3" fontId="8" fillId="0" borderId="0" xfId="0" applyNumberFormat="1" applyFont="1"/>
    <xf numFmtId="0" fontId="114" fillId="0" borderId="0" xfId="0" applyNumberFormat="1" applyFont="1" applyBorder="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8" fillId="0" borderId="0" xfId="0" applyFont="1" applyBorder="1" applyAlignment="1"/>
    <xf numFmtId="0" fontId="88" fillId="0" borderId="0" xfId="0" applyFont="1" applyBorder="1" applyAlignment="1"/>
    <xf numFmtId="0" fontId="88" fillId="0" borderId="0" xfId="0" applyFont="1" applyBorder="1"/>
    <xf numFmtId="0" fontId="88"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8" fillId="0" borderId="0" xfId="0" applyFont="1" applyBorder="1" applyAlignment="1">
      <alignment vertical="center" wrapText="1"/>
    </xf>
    <xf numFmtId="180" fontId="20" fillId="0" borderId="0" xfId="0" applyNumberFormat="1" applyFont="1" applyFill="1" applyBorder="1"/>
    <xf numFmtId="4" fontId="104" fillId="0" borderId="0" xfId="0" applyNumberFormat="1" applyFont="1" applyBorder="1"/>
    <xf numFmtId="0" fontId="30" fillId="0" borderId="0" xfId="0" applyNumberFormat="1" applyFont="1"/>
    <xf numFmtId="0" fontId="33" fillId="0" borderId="0" xfId="1152" applyNumberFormat="1"/>
    <xf numFmtId="0" fontId="0" fillId="0" borderId="0" xfId="0" applyAlignment="1"/>
    <xf numFmtId="0" fontId="93" fillId="0" borderId="0" xfId="0" applyFont="1" applyAlignment="1"/>
    <xf numFmtId="0" fontId="112" fillId="0" borderId="0" xfId="0" applyNumberFormat="1" applyFont="1" applyBorder="1"/>
    <xf numFmtId="0" fontId="0" fillId="0" borderId="0" xfId="0" applyAlignment="1">
      <alignment wrapText="1"/>
    </xf>
    <xf numFmtId="0" fontId="0" fillId="0" borderId="0" xfId="0" applyBorder="1" applyAlignment="1">
      <alignment wrapText="1"/>
    </xf>
    <xf numFmtId="4" fontId="88" fillId="0" borderId="0" xfId="0" applyNumberFormat="1" applyFont="1"/>
    <xf numFmtId="0" fontId="116" fillId="0" borderId="0" xfId="0" applyFont="1" applyAlignment="1" applyProtection="1">
      <alignment horizontal="right" wrapText="1" readingOrder="1"/>
      <protection locked="0"/>
    </xf>
    <xf numFmtId="0" fontId="116" fillId="0" borderId="0" xfId="0" applyFont="1" applyAlignment="1" applyProtection="1">
      <alignment wrapText="1" readingOrder="1"/>
      <protection locked="0"/>
    </xf>
    <xf numFmtId="4" fontId="116" fillId="0" borderId="0" xfId="0" applyNumberFormat="1" applyFont="1" applyAlignment="1" applyProtection="1">
      <alignment wrapText="1" readingOrder="1"/>
      <protection locked="0"/>
    </xf>
    <xf numFmtId="10" fontId="20" fillId="0" borderId="0" xfId="0" applyNumberFormat="1" applyFont="1"/>
    <xf numFmtId="9" fontId="96" fillId="0" borderId="0" xfId="1224" applyNumberFormat="1" applyFont="1" applyAlignment="1">
      <alignment vertical="center"/>
    </xf>
    <xf numFmtId="0" fontId="20" fillId="0" borderId="0" xfId="0" applyFont="1" applyAlignment="1">
      <alignment vertical="center" wrapText="1"/>
    </xf>
    <xf numFmtId="0" fontId="100" fillId="0" borderId="0" xfId="0" applyFont="1" applyAlignment="1">
      <alignment vertical="center" wrapText="1"/>
    </xf>
    <xf numFmtId="0" fontId="96" fillId="0" borderId="0" xfId="1224" applyFont="1" applyAlignment="1">
      <alignment horizontal="left" vertical="center"/>
    </xf>
    <xf numFmtId="0" fontId="117" fillId="0" borderId="0" xfId="0" applyFont="1" applyFill="1" applyBorder="1" applyAlignment="1">
      <alignment vertical="top" wrapText="1"/>
    </xf>
    <xf numFmtId="0" fontId="118" fillId="0" borderId="19" xfId="0" applyFont="1" applyFill="1" applyBorder="1" applyAlignment="1">
      <alignment horizontal="center" vertical="center" wrapText="1"/>
    </xf>
    <xf numFmtId="0" fontId="91" fillId="0" borderId="0" xfId="0" applyFont="1" applyAlignment="1"/>
    <xf numFmtId="3" fontId="8" fillId="0" borderId="0" xfId="1165" applyNumberFormat="1" applyFont="1" applyFill="1" applyBorder="1" applyAlignment="1">
      <alignment horizontal="center" vertical="center"/>
    </xf>
    <xf numFmtId="176" fontId="8" fillId="0" borderId="0" xfId="1165" applyNumberFormat="1" applyFont="1" applyFill="1" applyBorder="1" applyAlignment="1">
      <alignment horizontal="center" vertical="center"/>
    </xf>
    <xf numFmtId="0" fontId="8" fillId="0" borderId="0" xfId="1882" applyFont="1" applyFill="1" applyBorder="1" applyAlignment="1">
      <alignment vertical="center"/>
    </xf>
    <xf numFmtId="185" fontId="20" fillId="0" borderId="0" xfId="0" applyNumberFormat="1" applyFont="1" applyAlignment="1">
      <alignment vertical="center"/>
    </xf>
    <xf numFmtId="0" fontId="35" fillId="0" borderId="0" xfId="0" applyFont="1" applyFill="1" applyBorder="1" applyAlignment="1">
      <alignment horizontal="center"/>
    </xf>
    <xf numFmtId="0" fontId="35" fillId="0" borderId="0" xfId="0" applyFont="1" applyFill="1" applyBorder="1" applyAlignment="1">
      <alignment horizontal="center" vertical="center" wrapText="1"/>
    </xf>
    <xf numFmtId="0" fontId="8" fillId="0" borderId="19" xfId="0" applyFont="1" applyFill="1" applyBorder="1" applyAlignment="1">
      <alignment horizontal="center"/>
    </xf>
    <xf numFmtId="0" fontId="8" fillId="0" borderId="19" xfId="0" applyFont="1" applyFill="1" applyBorder="1" applyAlignment="1">
      <alignment horizontal="center" vertical="center" wrapText="1"/>
    </xf>
    <xf numFmtId="0" fontId="8" fillId="0" borderId="19" xfId="0" applyFont="1" applyBorder="1" applyAlignment="1">
      <alignment horizontal="center" vertical="center" wrapText="1"/>
    </xf>
    <xf numFmtId="17" fontId="119" fillId="0" borderId="0" xfId="1225" applyNumberFormat="1" applyFont="1" applyAlignment="1">
      <alignment horizontal="left" vertical="center"/>
    </xf>
    <xf numFmtId="0" fontId="35" fillId="0" borderId="0" xfId="1225" applyFont="1" applyAlignment="1">
      <alignment vertical="center"/>
    </xf>
    <xf numFmtId="3" fontId="109" fillId="0" borderId="0" xfId="0" applyNumberFormat="1" applyFont="1"/>
    <xf numFmtId="0" fontId="35"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4" fontId="109" fillId="0" borderId="0" xfId="0" applyNumberFormat="1" applyFont="1"/>
    <xf numFmtId="0" fontId="61" fillId="0" borderId="0" xfId="1241" applyFont="1" applyAlignment="1" applyProtection="1">
      <alignment horizontal="right" vertical="top" wrapText="1" readingOrder="1"/>
      <protection locked="0"/>
    </xf>
    <xf numFmtId="0" fontId="61" fillId="0" borderId="0" xfId="1241" applyFont="1" applyAlignment="1" applyProtection="1">
      <alignment vertical="top" wrapText="1" readingOrder="1"/>
      <protection locked="0"/>
    </xf>
    <xf numFmtId="0" fontId="8" fillId="0" borderId="0" xfId="1241" applyAlignment="1">
      <alignment wrapText="1" readingOrder="1"/>
    </xf>
    <xf numFmtId="0" fontId="8" fillId="0" borderId="0" xfId="1241" applyAlignment="1">
      <alignment wrapText="1"/>
    </xf>
    <xf numFmtId="200" fontId="91" fillId="0" borderId="0" xfId="0" applyNumberFormat="1" applyFont="1"/>
    <xf numFmtId="0" fontId="8" fillId="0" borderId="0" xfId="1232" applyAlignment="1">
      <alignment wrapText="1"/>
    </xf>
    <xf numFmtId="0" fontId="61" fillId="0" borderId="0" xfId="1232" applyFont="1" applyAlignment="1" applyProtection="1">
      <alignment horizontal="right" vertical="top" wrapText="1" readingOrder="1"/>
      <protection locked="0"/>
    </xf>
    <xf numFmtId="4" fontId="91" fillId="0" borderId="0" xfId="0" applyNumberFormat="1" applyFont="1" applyFill="1"/>
    <xf numFmtId="0" fontId="91" fillId="0" borderId="0" xfId="0" applyFont="1" applyFill="1" applyAlignment="1">
      <alignment wrapText="1"/>
    </xf>
    <xf numFmtId="4" fontId="91" fillId="0" borderId="0" xfId="0" applyNumberFormat="1" applyFont="1" applyFill="1" applyAlignment="1">
      <alignment wrapText="1"/>
    </xf>
    <xf numFmtId="198" fontId="91" fillId="0" borderId="0" xfId="0" applyNumberFormat="1" applyFont="1" applyFill="1"/>
    <xf numFmtId="0" fontId="91" fillId="0" borderId="0" xfId="0" applyFont="1" applyFill="1"/>
    <xf numFmtId="173" fontId="92" fillId="0" borderId="0" xfId="0" applyNumberFormat="1" applyFont="1" applyBorder="1"/>
    <xf numFmtId="3" fontId="92" fillId="0" borderId="0" xfId="0" applyNumberFormat="1" applyFont="1" applyBorder="1" applyAlignment="1"/>
    <xf numFmtId="0" fontId="92" fillId="0" borderId="0" xfId="0" applyFont="1" applyAlignment="1"/>
    <xf numFmtId="0" fontId="35" fillId="53" borderId="19" xfId="0" applyFont="1" applyFill="1" applyBorder="1" applyAlignment="1">
      <alignment horizontal="center" vertical="center" wrapText="1"/>
    </xf>
    <xf numFmtId="0" fontId="115" fillId="0" borderId="0" xfId="0" applyFont="1" applyFill="1" applyBorder="1"/>
    <xf numFmtId="0" fontId="30" fillId="0" borderId="0" xfId="0" applyFont="1" applyBorder="1" applyAlignment="1">
      <alignment horizontal="left" vertical="top" wrapText="1"/>
    </xf>
    <xf numFmtId="9" fontId="8" fillId="0" borderId="0" xfId="0" applyNumberFormat="1" applyFont="1"/>
    <xf numFmtId="4" fontId="30"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0" fillId="0" borderId="0" xfId="0" applyFont="1" applyBorder="1" applyAlignment="1">
      <alignment horizontal="center"/>
    </xf>
    <xf numFmtId="3" fontId="120" fillId="0" borderId="0" xfId="0" applyNumberFormat="1" applyFont="1" applyBorder="1"/>
    <xf numFmtId="173" fontId="120" fillId="0" borderId="0" xfId="0" applyNumberFormat="1" applyFont="1" applyBorder="1"/>
    <xf numFmtId="0" fontId="88" fillId="0" borderId="19" xfId="0" applyFont="1" applyFill="1" applyBorder="1" applyAlignment="1">
      <alignment horizontal="left"/>
    </xf>
    <xf numFmtId="0" fontId="88" fillId="0" borderId="19" xfId="0" applyFont="1" applyFill="1" applyBorder="1" applyAlignment="1">
      <alignment horizontal="left" wrapText="1"/>
    </xf>
    <xf numFmtId="9" fontId="0" fillId="0" borderId="0" xfId="0" applyNumberFormat="1"/>
    <xf numFmtId="4" fontId="0" fillId="0" borderId="0" xfId="0" applyNumberFormat="1"/>
    <xf numFmtId="0" fontId="35" fillId="0" borderId="19" xfId="0" applyFont="1" applyBorder="1" applyAlignment="1">
      <alignment horizontal="center" vertical="center"/>
    </xf>
    <xf numFmtId="179" fontId="35" fillId="0" borderId="19" xfId="1153" applyNumberFormat="1" applyFont="1" applyBorder="1" applyAlignment="1">
      <alignment horizontal="center" vertical="center" wrapText="1"/>
    </xf>
    <xf numFmtId="201" fontId="33" fillId="0" borderId="0" xfId="1153" applyNumberFormat="1" applyAlignment="1">
      <alignment vertical="center"/>
    </xf>
    <xf numFmtId="3" fontId="8" fillId="0" borderId="0" xfId="1153" applyNumberFormat="1" applyFont="1" applyFill="1" applyBorder="1" applyAlignment="1">
      <alignment vertical="center"/>
    </xf>
    <xf numFmtId="3" fontId="8" fillId="0" borderId="0" xfId="0" applyNumberFormat="1" applyFont="1" applyBorder="1" applyAlignment="1">
      <alignment vertical="center"/>
    </xf>
    <xf numFmtId="3" fontId="8" fillId="0" borderId="19" xfId="1153" applyNumberFormat="1" applyFont="1" applyFill="1" applyBorder="1" applyAlignment="1">
      <alignment horizontal="center" vertical="center"/>
    </xf>
    <xf numFmtId="175" fontId="121" fillId="0" borderId="0" xfId="1900" applyNumberFormat="1" applyFont="1" applyAlignment="1">
      <alignment vertical="center"/>
    </xf>
    <xf numFmtId="173" fontId="91" fillId="0" borderId="0" xfId="0" applyNumberFormat="1" applyFont="1" applyAlignment="1">
      <alignment vertical="center"/>
    </xf>
    <xf numFmtId="0" fontId="91" fillId="0" borderId="0" xfId="0" quotePrefix="1" applyFont="1" applyFill="1" applyBorder="1" applyAlignment="1">
      <alignment vertical="center"/>
    </xf>
    <xf numFmtId="3" fontId="91" fillId="0" borderId="0" xfId="1153" applyNumberFormat="1" applyFont="1" applyFill="1" applyBorder="1" applyAlignment="1">
      <alignment vertical="center"/>
    </xf>
    <xf numFmtId="0" fontId="8" fillId="0" borderId="19" xfId="0" applyFont="1" applyBorder="1" applyAlignment="1">
      <alignment vertical="center"/>
    </xf>
    <xf numFmtId="176" fontId="91" fillId="0" borderId="0" xfId="0" applyNumberFormat="1" applyFont="1" applyFill="1" applyBorder="1" applyAlignment="1">
      <alignment vertical="center"/>
    </xf>
    <xf numFmtId="173" fontId="91" fillId="0" borderId="0" xfId="0" applyNumberFormat="1" applyFont="1" applyBorder="1" applyAlignment="1">
      <alignment vertical="center"/>
    </xf>
    <xf numFmtId="0" fontId="91" fillId="0" borderId="0" xfId="0" applyFont="1" applyBorder="1" applyAlignment="1">
      <alignment vertical="center"/>
    </xf>
    <xf numFmtId="0" fontId="8" fillId="0" borderId="19" xfId="0" applyFont="1" applyFill="1" applyBorder="1" applyAlignment="1">
      <alignment vertical="center"/>
    </xf>
    <xf numFmtId="3" fontId="91" fillId="0" borderId="0" xfId="0" quotePrefix="1" applyNumberFormat="1" applyFont="1" applyFill="1" applyBorder="1" applyAlignment="1">
      <alignment vertical="center"/>
    </xf>
    <xf numFmtId="185" fontId="91" fillId="0" borderId="0" xfId="0" applyNumberFormat="1" applyFont="1" applyBorder="1" applyAlignment="1">
      <alignment vertical="center"/>
    </xf>
    <xf numFmtId="0" fontId="8" fillId="0" borderId="0" xfId="0" applyFont="1" applyBorder="1" applyAlignment="1">
      <alignment vertical="center"/>
    </xf>
    <xf numFmtId="0" fontId="92" fillId="0" borderId="0" xfId="0" applyFont="1" applyBorder="1" applyAlignment="1" applyProtection="1"/>
    <xf numFmtId="0" fontId="91"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6" fontId="8" fillId="0" borderId="0" xfId="0" applyNumberFormat="1" applyFont="1" applyAlignment="1">
      <alignment vertical="center"/>
    </xf>
    <xf numFmtId="173" fontId="8" fillId="0" borderId="0" xfId="0" applyNumberFormat="1" applyFont="1" applyFill="1" applyAlignment="1">
      <alignment vertical="center"/>
    </xf>
    <xf numFmtId="0" fontId="8" fillId="0" borderId="0" xfId="0" applyFont="1" applyFill="1" applyAlignment="1">
      <alignment vertical="center"/>
    </xf>
    <xf numFmtId="0" fontId="35" fillId="0" borderId="0" xfId="0" applyFont="1" applyFill="1" applyAlignment="1">
      <alignment vertical="center"/>
    </xf>
    <xf numFmtId="3" fontId="8"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09" fillId="0" borderId="0" xfId="0" applyFont="1" applyBorder="1" applyAlignment="1">
      <alignment vertical="center"/>
    </xf>
    <xf numFmtId="0" fontId="122" fillId="0" borderId="0" xfId="0" applyFont="1"/>
    <xf numFmtId="0" fontId="122" fillId="0" borderId="0" xfId="0" applyFont="1" applyBorder="1"/>
    <xf numFmtId="0" fontId="91" fillId="0" borderId="0" xfId="0"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3" fontId="91" fillId="0" borderId="0" xfId="0" applyNumberFormat="1" applyFont="1" applyFill="1" applyBorder="1" applyAlignment="1">
      <alignment horizontal="center" vertical="center" wrapText="1"/>
    </xf>
    <xf numFmtId="0" fontId="109" fillId="0" borderId="0" xfId="0" applyFont="1" applyFill="1" applyBorder="1" applyAlignment="1">
      <alignment horizontal="center" vertical="center" wrapText="1"/>
    </xf>
    <xf numFmtId="189" fontId="91" fillId="0" borderId="0" xfId="1152" applyNumberFormat="1" applyFont="1" applyFill="1" applyBorder="1" applyAlignment="1">
      <alignment horizontal="center" vertical="center" wrapText="1"/>
    </xf>
    <xf numFmtId="189" fontId="109" fillId="0" borderId="0" xfId="1152" applyNumberFormat="1" applyFont="1" applyFill="1" applyBorder="1" applyAlignment="1">
      <alignment horizontal="center" vertical="center" wrapText="1"/>
    </xf>
    <xf numFmtId="3" fontId="109" fillId="0" borderId="0" xfId="1252" applyNumberFormat="1" applyFont="1" applyFill="1" applyBorder="1" applyAlignment="1" applyProtection="1">
      <alignment horizontal="right"/>
    </xf>
    <xf numFmtId="0" fontId="109" fillId="0" borderId="0" xfId="0" applyFont="1" applyFill="1" applyBorder="1" applyAlignment="1">
      <alignment horizontal="center"/>
    </xf>
    <xf numFmtId="0" fontId="8" fillId="0" borderId="19" xfId="0" applyFont="1" applyFill="1" applyBorder="1" applyAlignment="1">
      <alignment horizontal="center" wrapText="1"/>
    </xf>
    <xf numFmtId="0" fontId="30" fillId="0" borderId="23" xfId="0" applyFont="1" applyFill="1" applyBorder="1" applyAlignment="1">
      <alignment wrapText="1"/>
    </xf>
    <xf numFmtId="3" fontId="8" fillId="0" borderId="19" xfId="0" applyNumberFormat="1" applyFont="1" applyFill="1" applyBorder="1" applyAlignment="1">
      <alignment horizontal="center" vertical="center"/>
    </xf>
    <xf numFmtId="3" fontId="109" fillId="0" borderId="0" xfId="0" applyNumberFormat="1" applyFont="1" applyFill="1" applyBorder="1" applyAlignment="1">
      <alignment horizontal="center" vertical="center"/>
    </xf>
    <xf numFmtId="189" fontId="8" fillId="0" borderId="19" xfId="1152" applyNumberFormat="1" applyFont="1" applyFill="1" applyBorder="1" applyAlignment="1">
      <alignment horizontal="left" vertical="center"/>
    </xf>
    <xf numFmtId="3" fontId="91" fillId="0" borderId="0" xfId="0" applyNumberFormat="1" applyFont="1" applyFill="1" applyBorder="1"/>
    <xf numFmtId="3" fontId="109" fillId="0" borderId="0" xfId="0" applyNumberFormat="1" applyFont="1" applyFill="1" applyBorder="1" applyAlignment="1">
      <alignment horizontal="center"/>
    </xf>
    <xf numFmtId="0" fontId="123" fillId="0" borderId="0" xfId="0" applyFont="1" applyBorder="1" applyAlignment="1">
      <alignment horizontal="left" vertical="center" wrapText="1"/>
    </xf>
    <xf numFmtId="0" fontId="123" fillId="0" borderId="0" xfId="0" applyFont="1" applyBorder="1" applyAlignment="1">
      <alignment horizontal="left"/>
    </xf>
    <xf numFmtId="0" fontId="123" fillId="0" borderId="0" xfId="0" applyFont="1" applyBorder="1" applyAlignment="1">
      <alignment horizontal="left" wrapText="1"/>
    </xf>
    <xf numFmtId="0" fontId="124" fillId="0" borderId="0" xfId="0" applyFont="1" applyBorder="1" applyAlignment="1">
      <alignment horizontal="left" wrapText="1"/>
    </xf>
    <xf numFmtId="0" fontId="109" fillId="0" borderId="0" xfId="0" applyFont="1" applyFill="1"/>
    <xf numFmtId="0" fontId="35" fillId="0" borderId="19" xfId="0" applyFont="1" applyFill="1" applyBorder="1" applyAlignment="1" applyProtection="1">
      <alignment horizontal="center" vertical="center" wrapText="1"/>
    </xf>
    <xf numFmtId="0" fontId="122" fillId="0" borderId="0" xfId="0" applyFont="1" applyFill="1" applyBorder="1"/>
    <xf numFmtId="4" fontId="122" fillId="0" borderId="0" xfId="0" applyNumberFormat="1" applyFont="1" applyFill="1" applyBorder="1"/>
    <xf numFmtId="175" fontId="32" fillId="0" borderId="19" xfId="1900" applyNumberFormat="1" applyFont="1" applyFill="1" applyBorder="1" applyAlignment="1" applyProtection="1">
      <alignment horizontal="center" vertical="center"/>
    </xf>
    <xf numFmtId="185" fontId="91" fillId="0" borderId="0" xfId="0" applyNumberFormat="1" applyFont="1" applyFill="1"/>
    <xf numFmtId="0" fontId="35" fillId="0" borderId="19" xfId="0" applyFont="1" applyBorder="1" applyAlignment="1" applyProtection="1">
      <alignment horizontal="center" vertical="center"/>
    </xf>
    <xf numFmtId="175" fontId="32" fillId="53" borderId="19" xfId="1900" applyNumberFormat="1" applyFont="1" applyFill="1" applyBorder="1" applyAlignment="1" applyProtection="1">
      <alignment horizontal="center" vertical="center"/>
    </xf>
    <xf numFmtId="185" fontId="91" fillId="0" borderId="0" xfId="0" applyNumberFormat="1" applyFont="1"/>
    <xf numFmtId="4" fontId="122" fillId="0" borderId="0" xfId="0" applyNumberFormat="1" applyFont="1" applyBorder="1"/>
    <xf numFmtId="0" fontId="30" fillId="0" borderId="0" xfId="0" applyFont="1" applyBorder="1" applyProtection="1"/>
    <xf numFmtId="0" fontId="92" fillId="0" borderId="0" xfId="0" applyFont="1" applyAlignment="1" applyProtection="1">
      <alignment horizontal="right"/>
    </xf>
    <xf numFmtId="202" fontId="32" fillId="0" borderId="0" xfId="0" applyNumberFormat="1" applyFont="1"/>
    <xf numFmtId="9" fontId="32" fillId="0" borderId="0" xfId="1900" applyNumberFormat="1" applyFont="1"/>
    <xf numFmtId="3" fontId="8" fillId="0" borderId="0" xfId="0" applyNumberFormat="1" applyFont="1" applyBorder="1"/>
    <xf numFmtId="3" fontId="30" fillId="0" borderId="0" xfId="0" applyNumberFormat="1" applyFont="1"/>
    <xf numFmtId="0" fontId="30" fillId="0" borderId="0" xfId="0" applyFont="1" applyAlignment="1">
      <alignment vertical="top" wrapText="1"/>
    </xf>
    <xf numFmtId="0" fontId="35" fillId="0" borderId="19" xfId="0" applyFont="1" applyFill="1" applyBorder="1" applyAlignment="1">
      <alignment horizontal="center" vertical="center"/>
    </xf>
    <xf numFmtId="0" fontId="88" fillId="0" borderId="0" xfId="0" applyFont="1" applyFill="1"/>
    <xf numFmtId="175" fontId="8" fillId="0" borderId="19" xfId="0" applyNumberFormat="1" applyFont="1" applyFill="1" applyBorder="1" applyAlignment="1">
      <alignment horizontal="center" vertical="center"/>
    </xf>
    <xf numFmtId="0" fontId="30" fillId="0" borderId="0" xfId="0" applyFont="1" applyFill="1" applyBorder="1"/>
    <xf numFmtId="0" fontId="35" fillId="53" borderId="19" xfId="0" applyFont="1" applyFill="1" applyBorder="1" applyAlignment="1">
      <alignment horizontal="center" vertical="center"/>
    </xf>
    <xf numFmtId="3" fontId="8" fillId="53" borderId="19" xfId="0" applyNumberFormat="1" applyFont="1" applyFill="1" applyBorder="1" applyAlignment="1">
      <alignment horizontal="center" vertical="center"/>
    </xf>
    <xf numFmtId="0" fontId="122" fillId="0" borderId="0" xfId="0" applyFont="1" applyBorder="1" applyAlignment="1"/>
    <xf numFmtId="3" fontId="92" fillId="0" borderId="0" xfId="0" applyNumberFormat="1" applyFont="1"/>
    <xf numFmtId="0" fontId="35" fillId="0" borderId="0" xfId="0" applyFont="1" applyFill="1" applyBorder="1" applyAlignment="1">
      <alignment horizontal="center" vertical="center"/>
    </xf>
    <xf numFmtId="172" fontId="35" fillId="0" borderId="0" xfId="0" applyNumberFormat="1" applyFont="1" applyFill="1" applyBorder="1" applyAlignment="1">
      <alignment horizontal="center" vertical="center"/>
    </xf>
    <xf numFmtId="0" fontId="35" fillId="0" borderId="19" xfId="0"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30" fillId="0" borderId="0" xfId="0" applyFont="1" applyFill="1" applyBorder="1" applyAlignment="1">
      <alignment horizontal="left" vertical="center" wrapText="1"/>
    </xf>
    <xf numFmtId="17" fontId="125" fillId="0" borderId="0" xfId="0" applyNumberFormat="1" applyFont="1" applyBorder="1" applyAlignment="1">
      <alignment horizontal="center" wrapText="1"/>
    </xf>
    <xf numFmtId="0" fontId="30" fillId="0" borderId="0" xfId="0" applyFont="1" applyBorder="1" applyAlignment="1">
      <alignment vertical="center"/>
    </xf>
    <xf numFmtId="203" fontId="30" fillId="0" borderId="0" xfId="0" applyNumberFormat="1" applyFont="1" applyFill="1" applyBorder="1" applyAlignment="1">
      <alignment horizontal="center"/>
    </xf>
    <xf numFmtId="2" fontId="30" fillId="0" borderId="0" xfId="0" applyNumberFormat="1" applyFont="1" applyBorder="1" applyAlignment="1">
      <alignment horizontal="center"/>
    </xf>
    <xf numFmtId="2" fontId="30" fillId="0" borderId="0" xfId="0" applyNumberFormat="1" applyFont="1" applyBorder="1" applyProtection="1"/>
    <xf numFmtId="181" fontId="98" fillId="0" borderId="19" xfId="1152" applyNumberFormat="1" applyFont="1" applyBorder="1" applyAlignment="1">
      <alignment horizontal="center" vertical="center"/>
    </xf>
    <xf numFmtId="180" fontId="98" fillId="0" borderId="19" xfId="1152" applyNumberFormat="1" applyFont="1" applyBorder="1" applyAlignment="1">
      <alignment horizontal="center" vertical="center" wrapText="1"/>
    </xf>
    <xf numFmtId="177" fontId="30" fillId="0" borderId="0" xfId="0" applyNumberFormat="1" applyFont="1"/>
    <xf numFmtId="175" fontId="28" fillId="0" borderId="0" xfId="1900" applyNumberFormat="1" applyFont="1"/>
    <xf numFmtId="17" fontId="113" fillId="0" borderId="24" xfId="0" applyNumberFormat="1" applyFont="1" applyBorder="1" applyAlignment="1">
      <alignment horizontal="center" vertical="center" wrapText="1"/>
    </xf>
    <xf numFmtId="0" fontId="113" fillId="0" borderId="25" xfId="0" applyFont="1" applyBorder="1" applyAlignment="1">
      <alignment horizontal="right" vertical="center" wrapText="1"/>
    </xf>
    <xf numFmtId="0" fontId="111" fillId="53" borderId="26" xfId="0" applyFont="1" applyFill="1" applyBorder="1" applyAlignment="1">
      <alignment horizontal="right" vertical="center" wrapText="1"/>
    </xf>
    <xf numFmtId="17" fontId="113" fillId="0" borderId="27" xfId="0" applyNumberFormat="1" applyFont="1" applyBorder="1" applyAlignment="1">
      <alignment horizontal="center" vertical="center" wrapText="1"/>
    </xf>
    <xf numFmtId="0" fontId="113" fillId="0" borderId="28" xfId="0" applyFont="1" applyBorder="1" applyAlignment="1">
      <alignment horizontal="right" vertical="center" wrapText="1"/>
    </xf>
    <xf numFmtId="0" fontId="35" fillId="0" borderId="19" xfId="0" applyFont="1" applyBorder="1" applyAlignment="1">
      <alignment horizontal="center" wrapText="1"/>
    </xf>
    <xf numFmtId="4" fontId="8" fillId="0" borderId="0" xfId="0" applyNumberFormat="1" applyFont="1" applyFill="1"/>
    <xf numFmtId="0" fontId="8" fillId="0" borderId="0" xfId="1238"/>
    <xf numFmtId="0" fontId="61" fillId="0" borderId="29" xfId="1238" applyFont="1" applyBorder="1" applyAlignment="1" applyProtection="1">
      <alignment horizontal="right" vertical="top" wrapText="1" readingOrder="1"/>
      <protection locked="0"/>
    </xf>
    <xf numFmtId="0" fontId="75" fillId="0" borderId="0" xfId="1238" applyFont="1" applyAlignment="1" applyProtection="1">
      <alignment horizontal="left" wrapText="1" readingOrder="1"/>
      <protection locked="0"/>
    </xf>
    <xf numFmtId="0" fontId="75" fillId="0" borderId="30" xfId="1238" applyFont="1" applyBorder="1" applyAlignment="1" applyProtection="1">
      <alignment horizontal="left" wrapText="1" readingOrder="1"/>
      <protection locked="0"/>
    </xf>
    <xf numFmtId="0" fontId="76" fillId="0" borderId="0" xfId="1238" applyFont="1" applyAlignment="1" applyProtection="1">
      <alignment horizontal="center" wrapText="1" readingOrder="2"/>
      <protection locked="0"/>
    </xf>
    <xf numFmtId="0" fontId="61" fillId="0" borderId="0" xfId="0"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0" fontId="61" fillId="0" borderId="30" xfId="1238" applyFont="1" applyBorder="1" applyAlignment="1" applyProtection="1">
      <alignment vertical="top" wrapText="1" readingOrder="1"/>
      <protection locked="0"/>
    </xf>
    <xf numFmtId="0" fontId="61" fillId="0" borderId="0" xfId="1238" applyFont="1" applyAlignment="1" applyProtection="1">
      <alignment horizontal="right" vertical="top" wrapText="1" readingOrder="1"/>
      <protection locked="0"/>
    </xf>
    <xf numFmtId="0" fontId="61" fillId="0" borderId="0" xfId="1263" applyFont="1" applyAlignment="1" applyProtection="1">
      <alignment horizontal="right" vertical="top" wrapText="1" readingOrder="1"/>
      <protection locked="0"/>
    </xf>
    <xf numFmtId="0" fontId="61" fillId="0" borderId="0" xfId="1263" applyFont="1" applyAlignment="1" applyProtection="1">
      <alignment vertical="top" wrapText="1" readingOrder="1"/>
      <protection locked="0"/>
    </xf>
    <xf numFmtId="0" fontId="8" fillId="0" borderId="0" xfId="1263" applyAlignment="1">
      <alignment wrapText="1"/>
    </xf>
    <xf numFmtId="0" fontId="8" fillId="53" borderId="0" xfId="0" applyFont="1" applyFill="1"/>
    <xf numFmtId="0" fontId="8" fillId="0" borderId="0" xfId="1238" applyAlignment="1">
      <alignment wrapText="1"/>
    </xf>
    <xf numFmtId="4" fontId="92" fillId="0" borderId="0" xfId="0" applyNumberFormat="1" applyFont="1" applyBorder="1" applyAlignment="1"/>
    <xf numFmtId="0" fontId="61" fillId="0" borderId="0" xfId="1238" applyFont="1" applyAlignment="1" applyProtection="1">
      <alignment horizontal="left" vertical="top" wrapText="1" readingOrder="1"/>
      <protection locked="0"/>
    </xf>
    <xf numFmtId="0" fontId="76" fillId="0" borderId="31" xfId="1238" applyFont="1" applyBorder="1" applyAlignment="1" applyProtection="1">
      <alignment vertical="top" wrapText="1" readingOrder="1"/>
      <protection locked="0"/>
    </xf>
    <xf numFmtId="0" fontId="76" fillId="0" borderId="32" xfId="1238" applyFont="1" applyBorder="1" applyAlignment="1" applyProtection="1">
      <alignment vertical="top" wrapText="1" readingOrder="1"/>
      <protection locked="0"/>
    </xf>
    <xf numFmtId="0" fontId="76" fillId="0" borderId="31" xfId="1238" applyFont="1" applyBorder="1" applyAlignment="1" applyProtection="1">
      <alignment horizontal="right" vertical="top" wrapText="1" readingOrder="1"/>
      <protection locked="0"/>
    </xf>
    <xf numFmtId="1" fontId="35" fillId="0" borderId="0" xfId="0" applyNumberFormat="1" applyFont="1"/>
    <xf numFmtId="9" fontId="35" fillId="0" borderId="0" xfId="0" applyNumberFormat="1" applyFont="1"/>
    <xf numFmtId="0" fontId="29" fillId="0" borderId="0" xfId="0" applyFont="1" applyBorder="1" applyAlignment="1">
      <alignment horizontal="center"/>
    </xf>
    <xf numFmtId="3" fontId="29" fillId="0" borderId="0" xfId="0" applyNumberFormat="1" applyFont="1" applyBorder="1"/>
    <xf numFmtId="173" fontId="29" fillId="0" borderId="0" xfId="0" applyNumberFormat="1" applyFont="1" applyBorder="1"/>
    <xf numFmtId="0" fontId="88" fillId="0" borderId="19" xfId="0" applyFont="1" applyBorder="1" applyAlignment="1">
      <alignment horizontal="center"/>
    </xf>
    <xf numFmtId="9" fontId="35" fillId="0" borderId="0" xfId="0" applyNumberFormat="1" applyFont="1" applyAlignment="1">
      <alignment vertical="center"/>
    </xf>
    <xf numFmtId="164" fontId="35" fillId="0" borderId="0" xfId="0" applyNumberFormat="1" applyFont="1" applyAlignment="1">
      <alignment vertical="center"/>
    </xf>
    <xf numFmtId="164" fontId="35" fillId="0" borderId="0" xfId="0" applyNumberFormat="1" applyFont="1" applyFill="1" applyAlignment="1">
      <alignment vertical="center"/>
    </xf>
    <xf numFmtId="3" fontId="8" fillId="0" borderId="0" xfId="0" applyNumberFormat="1" applyFont="1" applyFill="1" applyBorder="1" applyAlignment="1">
      <alignment vertical="center"/>
    </xf>
    <xf numFmtId="194" fontId="65" fillId="0" borderId="0" xfId="1241" applyNumberFormat="1" applyFont="1" applyFill="1" applyAlignment="1" applyProtection="1">
      <alignment horizontal="right" vertical="top" wrapText="1" readingOrder="1"/>
      <protection locked="0"/>
    </xf>
    <xf numFmtId="195" fontId="65" fillId="0" borderId="0" xfId="1278" applyNumberFormat="1" applyFont="1" applyFill="1" applyBorder="1" applyAlignment="1" applyProtection="1">
      <alignment horizontal="right" vertical="top" wrapText="1" readingOrder="1"/>
      <protection locked="0"/>
    </xf>
    <xf numFmtId="195" fontId="65" fillId="0" borderId="0" xfId="1241" applyNumberFormat="1" applyFont="1" applyFill="1" applyBorder="1" applyAlignment="1" applyProtection="1">
      <alignment horizontal="right" vertical="top" wrapText="1" readingOrder="1"/>
      <protection locked="0"/>
    </xf>
    <xf numFmtId="176" fontId="8" fillId="0" borderId="0" xfId="0" applyNumberFormat="1" applyFont="1" applyFill="1" applyAlignment="1">
      <alignment vertical="center"/>
    </xf>
    <xf numFmtId="0" fontId="0" fillId="0" borderId="0" xfId="0" applyBorder="1"/>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37" fontId="8" fillId="0" borderId="19" xfId="0" applyNumberFormat="1" applyFont="1" applyBorder="1" applyAlignment="1" applyProtection="1">
      <alignment horizontal="center"/>
    </xf>
    <xf numFmtId="201" fontId="8" fillId="0" borderId="19" xfId="0" applyNumberFormat="1" applyFont="1" applyBorder="1" applyAlignment="1" applyProtection="1">
      <alignment horizontal="center"/>
    </xf>
    <xf numFmtId="37" fontId="8" fillId="0" borderId="0" xfId="0" applyNumberFormat="1" applyFont="1"/>
    <xf numFmtId="173" fontId="32" fillId="0" borderId="19" xfId="1900" applyNumberFormat="1" applyFont="1" applyBorder="1" applyAlignment="1" applyProtection="1">
      <alignment horizontal="center"/>
    </xf>
    <xf numFmtId="0" fontId="30" fillId="0" borderId="0" xfId="0" applyFont="1" applyBorder="1" applyAlignment="1" applyProtection="1">
      <alignment horizontal="right"/>
    </xf>
    <xf numFmtId="175" fontId="32" fillId="0" borderId="0" xfId="1900" applyNumberFormat="1" applyFont="1"/>
    <xf numFmtId="0" fontId="35" fillId="0" borderId="19" xfId="0" applyFont="1" applyBorder="1" applyAlignment="1">
      <alignment horizontal="center"/>
    </xf>
    <xf numFmtId="0" fontId="35"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6" fillId="0" borderId="0" xfId="1152" applyNumberFormat="1" applyFont="1"/>
    <xf numFmtId="0" fontId="114" fillId="0" borderId="0" xfId="0" applyNumberFormat="1" applyFont="1"/>
    <xf numFmtId="0" fontId="88" fillId="0" borderId="0" xfId="0" applyNumberFormat="1" applyFont="1"/>
    <xf numFmtId="1" fontId="43" fillId="0" borderId="0" xfId="1900" applyNumberFormat="1" applyFont="1"/>
    <xf numFmtId="0" fontId="31" fillId="0" borderId="0" xfId="0" applyNumberFormat="1" applyFont="1" applyBorder="1"/>
    <xf numFmtId="0" fontId="35" fillId="0" borderId="19" xfId="0" applyFont="1" applyBorder="1" applyAlignment="1">
      <alignment horizontal="left"/>
    </xf>
    <xf numFmtId="180" fontId="8" fillId="0" borderId="0" xfId="0" applyNumberFormat="1" applyFont="1"/>
    <xf numFmtId="178" fontId="8" fillId="0" borderId="0" xfId="0" applyNumberFormat="1" applyFont="1"/>
    <xf numFmtId="171" fontId="8" fillId="0" borderId="0" xfId="0" applyNumberFormat="1" applyFont="1"/>
    <xf numFmtId="169" fontId="8" fillId="0" borderId="0" xfId="0" applyNumberFormat="1" applyFont="1" applyBorder="1"/>
    <xf numFmtId="0" fontId="87" fillId="0" borderId="0" xfId="1136" applyFont="1"/>
    <xf numFmtId="176" fontId="8" fillId="0" borderId="19" xfId="0" applyNumberFormat="1" applyFont="1" applyFill="1" applyBorder="1" applyAlignment="1">
      <alignment horizontal="center" vertical="center"/>
    </xf>
    <xf numFmtId="9" fontId="8" fillId="0" borderId="19" xfId="0" applyNumberFormat="1" applyFont="1" applyFill="1" applyBorder="1" applyAlignment="1">
      <alignment horizontal="center" vertical="center"/>
    </xf>
    <xf numFmtId="4" fontId="105" fillId="0" borderId="0" xfId="0" applyNumberFormat="1" applyFont="1"/>
    <xf numFmtId="0" fontId="8" fillId="0" borderId="19" xfId="0" applyFont="1" applyFill="1" applyBorder="1" applyAlignment="1">
      <alignment horizontal="left" wrapText="1"/>
    </xf>
    <xf numFmtId="175" fontId="43" fillId="0" borderId="0" xfId="1900" applyNumberFormat="1" applyFont="1"/>
    <xf numFmtId="0" fontId="127"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3" fontId="8" fillId="0" borderId="0" xfId="0" applyNumberFormat="1" applyFont="1" applyFill="1"/>
    <xf numFmtId="180" fontId="32" fillId="0" borderId="0" xfId="1152" applyNumberFormat="1" applyFont="1" applyFill="1" applyBorder="1" applyAlignment="1">
      <alignment horizontal="center" vertical="center"/>
    </xf>
    <xf numFmtId="173" fontId="30" fillId="0" borderId="0" xfId="0" applyNumberFormat="1" applyFont="1" applyFill="1"/>
    <xf numFmtId="0" fontId="0" fillId="0" borderId="0" xfId="0" applyFill="1" applyBorder="1"/>
    <xf numFmtId="0" fontId="126" fillId="0" borderId="0" xfId="1152" applyNumberFormat="1" applyFont="1" applyFill="1"/>
    <xf numFmtId="0" fontId="114" fillId="0" borderId="0" xfId="0" applyNumberFormat="1" applyFont="1" applyFill="1"/>
    <xf numFmtId="0" fontId="88" fillId="0" borderId="0" xfId="0" applyNumberFormat="1" applyFont="1" applyFill="1"/>
    <xf numFmtId="1" fontId="28" fillId="0" borderId="0" xfId="1900" applyNumberFormat="1" applyFont="1" applyFill="1"/>
    <xf numFmtId="0" fontId="88" fillId="0" borderId="0" xfId="0" applyNumberFormat="1" applyFont="1" applyFill="1" applyBorder="1"/>
    <xf numFmtId="0" fontId="128" fillId="0" borderId="0" xfId="1226" applyFont="1"/>
    <xf numFmtId="0" fontId="129" fillId="0" borderId="0" xfId="1226" applyFont="1"/>
    <xf numFmtId="0" fontId="119" fillId="0" borderId="0" xfId="1226" applyFont="1" applyAlignment="1">
      <alignment horizontal="center"/>
    </xf>
    <xf numFmtId="17" fontId="119" fillId="0" borderId="0" xfId="1226" quotePrefix="1" applyNumberFormat="1" applyFont="1" applyAlignment="1">
      <alignment horizontal="center"/>
    </xf>
    <xf numFmtId="0" fontId="130" fillId="0" borderId="0" xfId="1226" applyFont="1" applyAlignment="1">
      <alignment horizontal="left" indent="15"/>
    </xf>
    <xf numFmtId="0" fontId="131" fillId="0" borderId="0" xfId="1226" applyFont="1" applyAlignment="1">
      <alignment horizontal="center"/>
    </xf>
    <xf numFmtId="0" fontId="128" fillId="0" borderId="0" xfId="1226" applyFont="1" applyAlignment="1"/>
    <xf numFmtId="0" fontId="129" fillId="0" borderId="0" xfId="1226" applyFont="1" applyAlignment="1"/>
    <xf numFmtId="0" fontId="86" fillId="0" borderId="0" xfId="1226" applyFont="1"/>
    <xf numFmtId="0" fontId="132" fillId="0" borderId="0" xfId="1226" applyFont="1"/>
    <xf numFmtId="0" fontId="128" fillId="0" borderId="0" xfId="1226" quotePrefix="1" applyFont="1"/>
    <xf numFmtId="0" fontId="99" fillId="0" borderId="0" xfId="1226" applyFont="1" applyAlignment="1">
      <alignment wrapText="1"/>
    </xf>
    <xf numFmtId="17" fontId="96" fillId="0" borderId="0" xfId="1226" applyNumberFormat="1" applyFont="1" applyAlignment="1"/>
    <xf numFmtId="0" fontId="133" fillId="0" borderId="0" xfId="1226" applyFont="1"/>
    <xf numFmtId="0" fontId="93" fillId="0" borderId="0" xfId="1226" applyFont="1"/>
    <xf numFmtId="0" fontId="134" fillId="0" borderId="0" xfId="1226" applyFont="1"/>
    <xf numFmtId="0" fontId="135" fillId="0" borderId="0" xfId="1226" applyFont="1"/>
    <xf numFmtId="0" fontId="133" fillId="0" borderId="0" xfId="1226" quotePrefix="1" applyFont="1"/>
    <xf numFmtId="0" fontId="136" fillId="0" borderId="0" xfId="1226" applyFont="1"/>
    <xf numFmtId="0" fontId="98" fillId="0" borderId="0" xfId="1226" applyFont="1"/>
    <xf numFmtId="49" fontId="32" fillId="0" borderId="19" xfId="1152" applyNumberFormat="1" applyFont="1" applyBorder="1" applyAlignment="1">
      <alignment horizontal="center" vertical="center"/>
    </xf>
    <xf numFmtId="175" fontId="32" fillId="0" borderId="0" xfId="0" applyNumberFormat="1" applyFont="1"/>
    <xf numFmtId="3" fontId="88" fillId="0" borderId="0" xfId="0" applyNumberFormat="1" applyFont="1" applyFill="1" applyAlignment="1">
      <alignment vertical="center"/>
    </xf>
    <xf numFmtId="173" fontId="88" fillId="0" borderId="0" xfId="0" applyNumberFormat="1" applyFont="1" applyFill="1" applyAlignment="1">
      <alignment vertical="center"/>
    </xf>
    <xf numFmtId="0" fontId="88" fillId="0" borderId="0" xfId="0" applyFont="1" applyAlignment="1">
      <alignment vertical="center"/>
    </xf>
    <xf numFmtId="0" fontId="88" fillId="0" borderId="0" xfId="0" applyFont="1" applyFill="1" applyAlignment="1">
      <alignment vertical="center"/>
    </xf>
    <xf numFmtId="3" fontId="88" fillId="0" borderId="0" xfId="1153" applyNumberFormat="1" applyFont="1" applyFill="1" applyBorder="1" applyAlignment="1">
      <alignment vertical="center"/>
    </xf>
    <xf numFmtId="3" fontId="88" fillId="0" borderId="0" xfId="0" applyNumberFormat="1" applyFont="1" applyBorder="1" applyAlignment="1">
      <alignment vertical="center"/>
    </xf>
    <xf numFmtId="0" fontId="88" fillId="0" borderId="0" xfId="0" quotePrefix="1" applyFont="1" applyFill="1" applyBorder="1" applyAlignment="1">
      <alignment vertical="center"/>
    </xf>
    <xf numFmtId="193" fontId="0" fillId="0" borderId="0" xfId="0" applyNumberFormat="1"/>
    <xf numFmtId="185" fontId="35" fillId="0" borderId="0" xfId="0" applyNumberFormat="1" applyFont="1"/>
    <xf numFmtId="1" fontId="32" fillId="0" borderId="19" xfId="1152" applyNumberFormat="1" applyFont="1" applyBorder="1" applyAlignment="1">
      <alignment horizontal="center" vertical="center"/>
    </xf>
    <xf numFmtId="0" fontId="29" fillId="0" borderId="0" xfId="0" applyFont="1" applyFill="1"/>
    <xf numFmtId="9" fontId="28" fillId="0" borderId="0" xfId="1900" applyFont="1" applyFill="1"/>
    <xf numFmtId="0" fontId="91" fillId="0" borderId="0" xfId="0" applyNumberFormat="1" applyFont="1" applyFill="1"/>
    <xf numFmtId="0" fontId="92" fillId="0" borderId="0" xfId="0" applyNumberFormat="1" applyFont="1"/>
    <xf numFmtId="3" fontId="88" fillId="0" borderId="0" xfId="0" applyNumberFormat="1" applyFont="1"/>
    <xf numFmtId="176" fontId="20" fillId="0" borderId="0" xfId="0" applyNumberFormat="1" applyFont="1"/>
    <xf numFmtId="175" fontId="33" fillId="0" borderId="0" xfId="1900" applyNumberFormat="1"/>
    <xf numFmtId="0" fontId="8" fillId="0" borderId="19" xfId="0" applyFont="1" applyFill="1" applyBorder="1" applyAlignment="1">
      <alignment wrapText="1"/>
    </xf>
    <xf numFmtId="17" fontId="8" fillId="0" borderId="19" xfId="0" applyNumberFormat="1" applyFont="1" applyBorder="1" applyAlignment="1">
      <alignment horizontal="center" vertical="center"/>
    </xf>
    <xf numFmtId="0" fontId="8" fillId="0" borderId="19" xfId="0" applyFont="1" applyFill="1" applyBorder="1" applyAlignment="1">
      <alignment horizontal="left"/>
    </xf>
    <xf numFmtId="0" fontId="116" fillId="0" borderId="0" xfId="1232" applyFont="1" applyFill="1" applyAlignment="1" applyProtection="1">
      <alignment horizontal="right" vertical="top" wrapText="1" readingOrder="1"/>
      <protection locked="0"/>
    </xf>
    <xf numFmtId="180" fontId="8" fillId="0" borderId="0" xfId="0" applyNumberFormat="1" applyFont="1" applyBorder="1"/>
    <xf numFmtId="0" fontId="35" fillId="0" borderId="0" xfId="0" applyFont="1" applyFill="1" applyBorder="1" applyAlignment="1"/>
    <xf numFmtId="0" fontId="30" fillId="0" borderId="0" xfId="0" applyFont="1" applyFill="1" applyAlignment="1">
      <alignment horizontal="center"/>
    </xf>
    <xf numFmtId="0" fontId="120" fillId="0" borderId="0" xfId="0" applyFont="1" applyFill="1"/>
    <xf numFmtId="10" fontId="8" fillId="0" borderId="0" xfId="0" applyNumberFormat="1" applyFont="1"/>
    <xf numFmtId="205" fontId="8" fillId="0" borderId="0" xfId="0" quotePrefix="1" applyNumberFormat="1" applyFont="1" applyFill="1" applyBorder="1" applyAlignment="1">
      <alignment vertical="center"/>
    </xf>
    <xf numFmtId="0" fontId="100" fillId="0" borderId="0" xfId="0" applyFont="1"/>
    <xf numFmtId="0" fontId="8" fillId="0" borderId="0" xfId="1884" applyFont="1" applyBorder="1" applyAlignment="1" applyProtection="1">
      <alignment horizontal="center" vertical="center"/>
    </xf>
    <xf numFmtId="0" fontId="32" fillId="0" borderId="0" xfId="0" applyFont="1" applyAlignment="1">
      <alignment vertical="center"/>
    </xf>
    <xf numFmtId="0" fontId="96" fillId="0" borderId="0" xfId="1225" applyFont="1" applyAlignment="1">
      <alignment vertical="center"/>
    </xf>
    <xf numFmtId="0" fontId="35" fillId="0" borderId="20" xfId="1884" applyFont="1" applyBorder="1" applyAlignment="1" applyProtection="1">
      <alignment horizontal="left" vertical="center"/>
    </xf>
    <xf numFmtId="0" fontId="35" fillId="0" borderId="20" xfId="1884" applyFont="1" applyBorder="1" applyAlignment="1" applyProtection="1">
      <alignment vertical="center"/>
    </xf>
    <xf numFmtId="0" fontId="35" fillId="0" borderId="20" xfId="1884" applyFont="1" applyBorder="1" applyAlignment="1" applyProtection="1">
      <alignment horizontal="center" vertical="center"/>
    </xf>
    <xf numFmtId="0" fontId="8" fillId="0" borderId="0" xfId="1884" applyFont="1" applyBorder="1" applyAlignment="1" applyProtection="1">
      <alignment vertical="center"/>
    </xf>
    <xf numFmtId="0" fontId="8" fillId="0" borderId="0" xfId="1884" applyFont="1" applyBorder="1" applyAlignment="1" applyProtection="1">
      <alignment vertical="top"/>
    </xf>
    <xf numFmtId="0" fontId="35" fillId="0" borderId="20" xfId="1884" applyFont="1" applyBorder="1" applyAlignment="1" applyProtection="1">
      <alignment vertical="top"/>
    </xf>
    <xf numFmtId="0" fontId="96" fillId="0" borderId="0" xfId="1225" applyFont="1" applyAlignment="1">
      <alignment vertical="top"/>
    </xf>
    <xf numFmtId="0" fontId="82" fillId="0" borderId="0" xfId="1225" applyFont="1" applyAlignment="1">
      <alignment vertical="center"/>
    </xf>
    <xf numFmtId="0" fontId="138" fillId="0" borderId="0" xfId="1136" applyFont="1" applyBorder="1" applyAlignment="1" applyProtection="1">
      <alignment horizontal="center" vertical="center"/>
    </xf>
    <xf numFmtId="0" fontId="96" fillId="0" borderId="0" xfId="1225" applyFont="1" applyBorder="1" applyAlignment="1">
      <alignment vertical="center"/>
    </xf>
    <xf numFmtId="0" fontId="96" fillId="0" borderId="0" xfId="1225" applyFont="1" applyBorder="1" applyAlignment="1">
      <alignment horizontal="center" vertical="center"/>
    </xf>
    <xf numFmtId="0" fontId="139" fillId="0" borderId="0" xfId="1225" applyFont="1" applyAlignment="1">
      <alignment vertical="center"/>
    </xf>
    <xf numFmtId="0" fontId="8" fillId="0" borderId="0" xfId="1884" applyFont="1" applyBorder="1" applyAlignment="1" applyProtection="1">
      <alignment horizontal="left" vertical="center"/>
    </xf>
    <xf numFmtId="0" fontId="32" fillId="0" borderId="0" xfId="0" applyFont="1" applyAlignment="1">
      <alignment horizontal="center" vertical="center"/>
    </xf>
    <xf numFmtId="0" fontId="35" fillId="0" borderId="0" xfId="1884" applyFont="1" applyBorder="1" applyAlignment="1" applyProtection="1">
      <alignment horizontal="center" vertical="center"/>
    </xf>
    <xf numFmtId="0" fontId="8" fillId="0" borderId="0" xfId="1884" applyFont="1" applyBorder="1" applyAlignment="1" applyProtection="1">
      <alignment horizontal="left" vertical="top"/>
    </xf>
    <xf numFmtId="0" fontId="8" fillId="0" borderId="0" xfId="1884" applyFont="1" applyBorder="1" applyAlignment="1" applyProtection="1">
      <alignment horizontal="center" vertical="top"/>
    </xf>
    <xf numFmtId="177" fontId="32" fillId="0" borderId="19" xfId="1153" applyFont="1" applyBorder="1" applyAlignment="1" applyProtection="1">
      <alignment horizontal="center" vertical="center"/>
    </xf>
    <xf numFmtId="17" fontId="96" fillId="0" borderId="19" xfId="0" applyNumberFormat="1" applyFont="1" applyFill="1" applyBorder="1" applyAlignment="1">
      <alignment horizontal="center" wrapText="1"/>
    </xf>
    <xf numFmtId="0" fontId="0" fillId="0" borderId="0" xfId="0" applyFont="1"/>
    <xf numFmtId="0" fontId="98" fillId="0" borderId="0" xfId="1153" applyNumberFormat="1"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35" fillId="0" borderId="0" xfId="1884" applyFont="1" applyBorder="1" applyAlignment="1" applyProtection="1">
      <alignment horizontal="left" vertical="center"/>
    </xf>
    <xf numFmtId="0" fontId="96" fillId="0" borderId="0" xfId="1225" applyFont="1" applyAlignment="1">
      <alignment horizontal="left" vertical="center"/>
    </xf>
    <xf numFmtId="173" fontId="100" fillId="0" borderId="19" xfId="1153" applyNumberFormat="1" applyFont="1" applyBorder="1" applyAlignment="1">
      <alignment horizontal="center" vertical="center" wrapText="1"/>
    </xf>
    <xf numFmtId="173" fontId="100" fillId="0" borderId="19" xfId="1153" quotePrefix="1" applyNumberFormat="1" applyFont="1" applyFill="1" applyBorder="1" applyAlignment="1">
      <alignment horizontal="center" vertical="center"/>
    </xf>
    <xf numFmtId="37" fontId="8" fillId="0" borderId="19" xfId="0" applyNumberFormat="1" applyFont="1" applyFill="1" applyBorder="1" applyAlignment="1" applyProtection="1">
      <alignment horizontal="center" vertical="center"/>
    </xf>
    <xf numFmtId="184" fontId="8" fillId="0" borderId="19" xfId="0" applyNumberFormat="1" applyFont="1" applyFill="1" applyBorder="1" applyAlignment="1" applyProtection="1">
      <alignment horizontal="center" vertical="center"/>
    </xf>
    <xf numFmtId="37" fontId="8" fillId="53" borderId="19" xfId="0" applyNumberFormat="1" applyFont="1" applyFill="1" applyBorder="1" applyAlignment="1" applyProtection="1">
      <alignment horizontal="center" vertical="center"/>
    </xf>
    <xf numFmtId="184" fontId="8" fillId="53" borderId="19" xfId="0" applyNumberFormat="1" applyFont="1" applyFill="1" applyBorder="1" applyAlignment="1" applyProtection="1">
      <alignment horizontal="center" vertical="center"/>
    </xf>
    <xf numFmtId="201" fontId="100" fillId="0" borderId="19" xfId="1153" applyNumberFormat="1" applyFont="1" applyFill="1" applyBorder="1" applyAlignment="1">
      <alignment horizontal="center" vertical="center"/>
    </xf>
    <xf numFmtId="201" fontId="100" fillId="53" borderId="19" xfId="1153" applyNumberFormat="1" applyFont="1" applyFill="1" applyBorder="1" applyAlignment="1">
      <alignment horizontal="center" vertical="center"/>
    </xf>
    <xf numFmtId="0" fontId="8" fillId="53" borderId="19" xfId="0" applyFont="1" applyFill="1" applyBorder="1" applyAlignment="1">
      <alignment horizontal="left" vertical="center" wrapText="1"/>
    </xf>
    <xf numFmtId="176" fontId="88" fillId="0" borderId="0" xfId="0" applyNumberFormat="1" applyFont="1" applyFill="1" applyBorder="1"/>
    <xf numFmtId="0" fontId="8" fillId="53" borderId="19" xfId="0" applyFont="1" applyFill="1" applyBorder="1" applyAlignment="1">
      <alignment horizontal="left" vertical="center"/>
    </xf>
    <xf numFmtId="0" fontId="8" fillId="0" borderId="19" xfId="0" applyFont="1" applyFill="1" applyBorder="1" applyAlignment="1" applyProtection="1">
      <alignment horizontal="center" vertical="center"/>
    </xf>
    <xf numFmtId="0" fontId="88" fillId="0" borderId="19" xfId="0" applyFont="1" applyFill="1" applyBorder="1" applyAlignment="1">
      <alignment horizontal="left" vertical="center"/>
    </xf>
    <xf numFmtId="204" fontId="94" fillId="0" borderId="19" xfId="1152" applyNumberFormat="1" applyFont="1" applyFill="1" applyBorder="1" applyAlignment="1">
      <alignment horizontal="center" vertical="center"/>
    </xf>
    <xf numFmtId="172" fontId="35" fillId="0" borderId="0" xfId="0" applyNumberFormat="1" applyFont="1" applyBorder="1" applyAlignment="1">
      <alignment horizontal="center"/>
    </xf>
    <xf numFmtId="0" fontId="0" fillId="0" borderId="0" xfId="0" applyNumberFormat="1" applyFont="1" applyBorder="1"/>
    <xf numFmtId="3" fontId="8" fillId="0" borderId="19" xfId="0" applyNumberFormat="1" applyFont="1" applyBorder="1" applyAlignment="1" applyProtection="1">
      <alignment horizontal="center"/>
    </xf>
    <xf numFmtId="3" fontId="0" fillId="0" borderId="0" xfId="0" applyNumberFormat="1" applyFill="1" applyBorder="1"/>
    <xf numFmtId="206" fontId="102" fillId="0" borderId="19" xfId="0" applyNumberFormat="1" applyFont="1" applyFill="1" applyBorder="1" applyAlignment="1">
      <alignment horizontal="center" vertical="center" wrapText="1"/>
    </xf>
    <xf numFmtId="0" fontId="35" fillId="0" borderId="19" xfId="0" applyFont="1" applyFill="1" applyBorder="1" applyAlignment="1">
      <alignment horizontal="center"/>
    </xf>
    <xf numFmtId="0" fontId="35" fillId="0" borderId="0" xfId="0" applyFont="1" applyFill="1" applyAlignment="1"/>
    <xf numFmtId="164" fontId="8" fillId="0" borderId="0" xfId="0" applyNumberFormat="1" applyFont="1" applyFill="1" applyAlignment="1"/>
    <xf numFmtId="164" fontId="105" fillId="0" borderId="0" xfId="0" applyNumberFormat="1" applyFont="1" applyFill="1" applyBorder="1" applyAlignment="1"/>
    <xf numFmtId="164" fontId="105" fillId="0" borderId="0" xfId="0" applyNumberFormat="1" applyFont="1" applyFill="1" applyAlignment="1"/>
    <xf numFmtId="0" fontId="120" fillId="0" borderId="0" xfId="0" applyFont="1"/>
    <xf numFmtId="207" fontId="8" fillId="0" borderId="19" xfId="0" applyNumberFormat="1" applyFont="1" applyBorder="1" applyAlignment="1" applyProtection="1">
      <alignment horizontal="center" vertical="center"/>
    </xf>
    <xf numFmtId="207" fontId="8" fillId="0" borderId="19" xfId="0" applyNumberFormat="1" applyFont="1" applyBorder="1" applyAlignment="1" applyProtection="1">
      <alignment horizontal="center"/>
    </xf>
    <xf numFmtId="0" fontId="30" fillId="0" borderId="0" xfId="0" applyFont="1" applyAlignment="1">
      <alignment horizontal="center" wrapText="1"/>
    </xf>
    <xf numFmtId="192" fontId="102" fillId="0" borderId="0" xfId="0" applyNumberFormat="1" applyFont="1" applyFill="1" applyBorder="1" applyAlignment="1">
      <alignment horizontal="center" vertical="top" wrapText="1"/>
    </xf>
    <xf numFmtId="0" fontId="74" fillId="0" borderId="0" xfId="1238" applyFont="1" applyBorder="1" applyAlignment="1" applyProtection="1">
      <alignment horizontal="left" vertical="center" wrapText="1" readingOrder="1"/>
      <protection locked="0"/>
    </xf>
    <xf numFmtId="0" fontId="61" fillId="0" borderId="0" xfId="1238" applyFont="1" applyBorder="1" applyAlignment="1" applyProtection="1">
      <alignment horizontal="right" vertical="top" wrapText="1" readingOrder="1"/>
      <protection locked="0"/>
    </xf>
    <xf numFmtId="0" fontId="61" fillId="0" borderId="0" xfId="1238" applyFont="1" applyBorder="1" applyAlignment="1" applyProtection="1">
      <alignment vertical="top" wrapText="1" readingOrder="1"/>
      <protection locked="0"/>
    </xf>
    <xf numFmtId="0" fontId="76" fillId="0" borderId="0" xfId="1238" applyFont="1" applyBorder="1" applyAlignment="1" applyProtection="1">
      <alignment horizontal="right" wrapText="1" readingOrder="1"/>
      <protection locked="0"/>
    </xf>
    <xf numFmtId="4" fontId="8" fillId="0" borderId="0" xfId="0" applyNumberFormat="1" applyFont="1" applyFill="1" applyBorder="1"/>
    <xf numFmtId="9" fontId="35" fillId="0" borderId="0" xfId="0" applyNumberFormat="1" applyFont="1" applyBorder="1"/>
    <xf numFmtId="10" fontId="35" fillId="0" borderId="0" xfId="0" applyNumberFormat="1" applyFont="1"/>
    <xf numFmtId="196" fontId="33" fillId="0" borderId="0" xfId="1153" applyNumberFormat="1" applyFill="1" applyBorder="1"/>
    <xf numFmtId="0" fontId="35" fillId="0" borderId="19" xfId="1882" applyFont="1" applyBorder="1" applyAlignment="1">
      <alignment horizontal="center" vertical="center"/>
    </xf>
    <xf numFmtId="179" fontId="35" fillId="0" borderId="19" xfId="1165" applyNumberFormat="1" applyFont="1" applyBorder="1" applyAlignment="1">
      <alignment horizontal="center" vertical="center" wrapText="1"/>
    </xf>
    <xf numFmtId="0" fontId="115" fillId="0" borderId="33" xfId="0" applyFont="1" applyBorder="1" applyAlignment="1">
      <alignment horizontal="center" vertical="center"/>
    </xf>
    <xf numFmtId="180" fontId="98" fillId="0" borderId="19" xfId="1152" applyNumberFormat="1" applyFont="1" applyFill="1" applyBorder="1" applyAlignment="1">
      <alignment horizontal="center" vertical="center" wrapText="1"/>
    </xf>
    <xf numFmtId="0" fontId="118"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7" fontId="0" fillId="0" borderId="0" xfId="0" applyNumberFormat="1"/>
    <xf numFmtId="3" fontId="8" fillId="0" borderId="0" xfId="0" quotePrefix="1" applyNumberFormat="1" applyFont="1" applyFill="1" applyBorder="1" applyAlignment="1">
      <alignment vertical="center"/>
    </xf>
    <xf numFmtId="194" fontId="65" fillId="0" borderId="0" xfId="1233" applyNumberFormat="1" applyFont="1" applyFill="1" applyBorder="1" applyAlignment="1" applyProtection="1">
      <alignment horizontal="right" vertical="top" wrapText="1" readingOrder="1"/>
      <protection locked="0"/>
    </xf>
    <xf numFmtId="173" fontId="8" fillId="0" borderId="0" xfId="0" applyNumberFormat="1" applyFont="1" applyFill="1" applyBorder="1" applyAlignment="1">
      <alignment vertical="center"/>
    </xf>
    <xf numFmtId="3" fontId="8" fillId="0" borderId="0" xfId="0" applyNumberFormat="1" applyFont="1" applyAlignment="1">
      <alignment vertical="center"/>
    </xf>
    <xf numFmtId="198" fontId="8" fillId="0" borderId="0" xfId="0" applyNumberFormat="1" applyFont="1" applyAlignment="1">
      <alignment vertical="center"/>
    </xf>
    <xf numFmtId="3" fontId="100" fillId="0" borderId="0" xfId="0" applyNumberFormat="1" applyFont="1"/>
    <xf numFmtId="0" fontId="84" fillId="0" borderId="0" xfId="0" applyFont="1" applyAlignment="1" applyProtection="1">
      <alignment vertical="top" wrapText="1" readingOrder="1"/>
      <protection locked="0"/>
    </xf>
    <xf numFmtId="9" fontId="33" fillId="0" borderId="0" xfId="1900" applyFill="1" applyBorder="1" applyAlignment="1" applyProtection="1">
      <alignment horizontal="right" vertical="top" wrapText="1" readingOrder="1"/>
      <protection locked="0"/>
    </xf>
    <xf numFmtId="175" fontId="33" fillId="0" borderId="0" xfId="1900" applyNumberFormat="1" applyFill="1" applyBorder="1" applyAlignment="1" applyProtection="1">
      <alignment horizontal="right" vertical="top" wrapText="1" readingOrder="1"/>
      <protection locked="0"/>
    </xf>
    <xf numFmtId="176" fontId="64" fillId="0" borderId="0" xfId="1267" applyNumberFormat="1" applyFont="1" applyBorder="1" applyAlignment="1" applyProtection="1">
      <alignment horizontal="center" vertical="top" wrapText="1" readingOrder="1"/>
      <protection locked="0"/>
    </xf>
    <xf numFmtId="175" fontId="33" fillId="0" borderId="0" xfId="1900" applyNumberFormat="1" applyAlignment="1">
      <alignment vertical="center"/>
    </xf>
    <xf numFmtId="175" fontId="33" fillId="0" borderId="0" xfId="1900" applyNumberFormat="1" applyBorder="1" applyAlignment="1">
      <alignment vertical="center"/>
    </xf>
    <xf numFmtId="173" fontId="8" fillId="0" borderId="0" xfId="0" applyNumberFormat="1" applyFont="1" applyAlignment="1">
      <alignment vertical="center"/>
    </xf>
    <xf numFmtId="1" fontId="33" fillId="0" borderId="0" xfId="1900" quotePrefix="1" applyNumberFormat="1" applyFill="1" applyBorder="1" applyAlignment="1">
      <alignment vertical="center"/>
    </xf>
    <xf numFmtId="9" fontId="33" fillId="0" borderId="0" xfId="1900" applyFill="1" applyBorder="1" applyAlignment="1">
      <alignment vertical="center"/>
    </xf>
    <xf numFmtId="0" fontId="8" fillId="0" borderId="0" xfId="1246" applyAlignment="1">
      <alignment wrapText="1"/>
    </xf>
    <xf numFmtId="0" fontId="53" fillId="0" borderId="19" xfId="0" applyFont="1" applyFill="1" applyBorder="1" applyAlignment="1">
      <alignment vertical="top" wrapText="1"/>
    </xf>
    <xf numFmtId="164" fontId="0" fillId="0" borderId="0" xfId="0" applyNumberFormat="1" applyFont="1" applyBorder="1"/>
    <xf numFmtId="3" fontId="8" fillId="0" borderId="19" xfId="1152" applyNumberFormat="1" applyFont="1" applyFill="1" applyBorder="1" applyAlignment="1">
      <alignment horizontal="center" vertical="center"/>
    </xf>
    <xf numFmtId="9" fontId="100" fillId="0" borderId="19" xfId="1152" applyNumberFormat="1" applyFont="1" applyFill="1" applyBorder="1" applyAlignment="1">
      <alignment horizontal="center" vertical="center"/>
    </xf>
    <xf numFmtId="0" fontId="29" fillId="0" borderId="19" xfId="0" applyFont="1" applyBorder="1" applyAlignment="1">
      <alignment horizontal="center" vertical="center" wrapText="1"/>
    </xf>
    <xf numFmtId="0" fontId="147" fillId="0" borderId="0" xfId="0" applyFont="1"/>
    <xf numFmtId="0" fontId="67" fillId="0" borderId="19" xfId="0" applyFont="1" applyFill="1" applyBorder="1" applyAlignment="1">
      <alignment horizontal="center" vertical="center" wrapText="1"/>
    </xf>
    <xf numFmtId="1" fontId="30" fillId="0" borderId="0" xfId="0" applyNumberFormat="1" applyFont="1"/>
    <xf numFmtId="0" fontId="175" fillId="0" borderId="0" xfId="0" applyFont="1" applyFill="1"/>
    <xf numFmtId="0" fontId="175" fillId="0" borderId="0" xfId="0" applyFont="1"/>
    <xf numFmtId="0" fontId="8" fillId="0" borderId="37" xfId="0" applyFont="1" applyBorder="1" applyAlignment="1" applyProtection="1">
      <alignment horizontal="center" vertical="center"/>
    </xf>
    <xf numFmtId="9" fontId="33" fillId="0" borderId="0" xfId="1900" applyAlignment="1">
      <alignment vertical="center"/>
    </xf>
    <xf numFmtId="175" fontId="33" fillId="0" borderId="0" xfId="1900" applyNumberFormat="1" applyFill="1"/>
    <xf numFmtId="0" fontId="30" fillId="0" borderId="0" xfId="0" applyFont="1" applyBorder="1" applyAlignment="1">
      <alignment vertical="center" wrapText="1"/>
    </xf>
    <xf numFmtId="0" fontId="30" fillId="0" borderId="36" xfId="0" applyNumberFormat="1" applyFont="1" applyBorder="1" applyAlignment="1">
      <alignment vertical="center" wrapText="1"/>
    </xf>
    <xf numFmtId="0" fontId="53" fillId="0" borderId="19" xfId="0" applyFont="1" applyFill="1" applyBorder="1" applyAlignment="1">
      <alignment horizontal="left" vertical="top" wrapText="1"/>
    </xf>
    <xf numFmtId="0" fontId="53" fillId="0" borderId="19" xfId="0" applyFont="1" applyFill="1" applyBorder="1" applyAlignment="1">
      <alignment horizontal="left" vertical="center" wrapText="1"/>
    </xf>
    <xf numFmtId="0" fontId="8" fillId="0" borderId="19" xfId="0" applyFont="1" applyBorder="1"/>
    <xf numFmtId="3" fontId="32" fillId="0" borderId="19" xfId="0" applyNumberFormat="1" applyFont="1" applyBorder="1" applyAlignment="1">
      <alignment horizontal="center"/>
    </xf>
    <xf numFmtId="0" fontId="53" fillId="0" borderId="19" xfId="0" applyFont="1" applyBorder="1" applyAlignment="1">
      <alignment horizontal="center"/>
    </xf>
    <xf numFmtId="0" fontId="179" fillId="0" borderId="0" xfId="0" applyFont="1"/>
    <xf numFmtId="0" fontId="179" fillId="0" borderId="0" xfId="0" applyFont="1" applyBorder="1" applyAlignment="1"/>
    <xf numFmtId="0" fontId="180" fillId="0" borderId="0" xfId="0" applyFont="1"/>
    <xf numFmtId="1" fontId="35" fillId="0" borderId="19" xfId="1152" applyNumberFormat="1" applyFont="1" applyFill="1" applyBorder="1" applyAlignment="1">
      <alignment horizontal="center" vertical="center"/>
    </xf>
    <xf numFmtId="49" fontId="35" fillId="0" borderId="0" xfId="0" applyNumberFormat="1" applyFont="1" applyFill="1" applyBorder="1" applyAlignment="1">
      <alignment vertical="center"/>
    </xf>
    <xf numFmtId="17" fontId="30" fillId="0" borderId="0" xfId="0" applyNumberFormat="1" applyFont="1" applyBorder="1" applyAlignment="1">
      <alignment horizontal="center"/>
    </xf>
    <xf numFmtId="1" fontId="96" fillId="0" borderId="0" xfId="1224" applyNumberFormat="1" applyFont="1" applyBorder="1" applyAlignment="1">
      <alignment horizontal="center"/>
    </xf>
    <xf numFmtId="0" fontId="180" fillId="0" borderId="0" xfId="0" applyFont="1" applyFill="1"/>
    <xf numFmtId="0" fontId="180" fillId="0" borderId="0" xfId="0" applyFont="1" applyFill="1" applyAlignment="1"/>
    <xf numFmtId="4" fontId="180" fillId="0" borderId="0" xfId="0" applyNumberFormat="1" applyFont="1" applyFill="1"/>
    <xf numFmtId="4" fontId="180" fillId="0" borderId="0" xfId="0" applyNumberFormat="1" applyFont="1" applyFill="1" applyAlignment="1"/>
    <xf numFmtId="1" fontId="182" fillId="0" borderId="19" xfId="0" applyNumberFormat="1" applyFont="1" applyFill="1" applyBorder="1" applyAlignment="1">
      <alignment horizontal="center"/>
    </xf>
    <xf numFmtId="0" fontId="182" fillId="0" borderId="19" xfId="0" applyFont="1" applyFill="1" applyBorder="1" applyAlignment="1">
      <alignment horizontal="center"/>
    </xf>
    <xf numFmtId="1" fontId="183" fillId="0" borderId="19" xfId="1224" applyNumberFormat="1" applyFont="1" applyBorder="1" applyAlignment="1">
      <alignment horizontal="center"/>
    </xf>
    <xf numFmtId="49" fontId="35" fillId="0" borderId="19" xfId="0" applyNumberFormat="1" applyFont="1" applyFill="1" applyBorder="1" applyAlignment="1">
      <alignment horizontal="center" vertical="center" wrapText="1"/>
    </xf>
    <xf numFmtId="201" fontId="176" fillId="0" borderId="19" xfId="1152" applyNumberFormat="1" applyFont="1" applyFill="1" applyBorder="1" applyAlignment="1">
      <alignment horizontal="center" vertical="center"/>
    </xf>
    <xf numFmtId="17" fontId="53" fillId="0" borderId="19" xfId="0" applyNumberFormat="1" applyFont="1" applyFill="1" applyBorder="1" applyAlignment="1">
      <alignment horizontal="center" wrapText="1"/>
    </xf>
    <xf numFmtId="0" fontId="0" fillId="0" borderId="0" xfId="0" applyFont="1" applyAlignment="1">
      <alignment wrapText="1"/>
    </xf>
    <xf numFmtId="0" fontId="53" fillId="58" borderId="19" xfId="0" applyFont="1" applyFill="1" applyBorder="1" applyAlignment="1">
      <alignment horizontal="left"/>
    </xf>
    <xf numFmtId="0" fontId="88" fillId="58" borderId="19" xfId="0" applyFont="1" applyFill="1" applyBorder="1" applyAlignment="1">
      <alignment horizontal="left"/>
    </xf>
    <xf numFmtId="0" fontId="88" fillId="58" borderId="19" xfId="0" applyFont="1" applyFill="1" applyBorder="1" applyAlignment="1">
      <alignment horizontal="left" wrapText="1"/>
    </xf>
    <xf numFmtId="3" fontId="8" fillId="53" borderId="19" xfId="0" applyNumberFormat="1" applyFont="1" applyFill="1" applyBorder="1" applyAlignment="1">
      <alignment horizontal="center" vertical="center" wrapText="1"/>
    </xf>
    <xf numFmtId="9" fontId="8" fillId="53" borderId="19" xfId="0" applyNumberFormat="1" applyFont="1" applyFill="1" applyBorder="1" applyAlignment="1">
      <alignment horizontal="center" vertical="center" wrapText="1"/>
    </xf>
    <xf numFmtId="3" fontId="167" fillId="0" borderId="0" xfId="1276" applyNumberFormat="1" applyFont="1"/>
    <xf numFmtId="173" fontId="33" fillId="0" borderId="0" xfId="1900" applyNumberFormat="1"/>
    <xf numFmtId="0" fontId="150" fillId="0" borderId="0" xfId="0" applyFont="1" applyFill="1" applyBorder="1" applyAlignment="1"/>
    <xf numFmtId="0" fontId="8" fillId="0" borderId="41" xfId="0" applyFont="1" applyFill="1" applyBorder="1" applyAlignment="1">
      <alignment vertical="center"/>
    </xf>
    <xf numFmtId="0" fontId="8" fillId="0" borderId="40" xfId="0" applyFont="1" applyFill="1" applyBorder="1" applyAlignment="1">
      <alignment vertical="center"/>
    </xf>
    <xf numFmtId="3" fontId="8" fillId="0" borderId="21" xfId="1153" applyNumberFormat="1" applyFont="1" applyFill="1" applyBorder="1" applyAlignment="1">
      <alignment horizontal="center" vertical="center"/>
    </xf>
    <xf numFmtId="0" fontId="30" fillId="0" borderId="0" xfId="1882" applyFont="1" applyBorder="1" applyAlignment="1" applyProtection="1">
      <alignment vertical="center" wrapText="1"/>
    </xf>
    <xf numFmtId="0" fontId="8" fillId="0" borderId="41" xfId="0" quotePrefix="1" applyFont="1" applyFill="1" applyBorder="1" applyAlignment="1">
      <alignment vertical="center"/>
    </xf>
    <xf numFmtId="0" fontId="65" fillId="0" borderId="0" xfId="0" applyFont="1" applyAlignment="1" applyProtection="1">
      <alignment horizontal="right" vertical="top" wrapText="1" readingOrder="1"/>
      <protection locked="0"/>
    </xf>
    <xf numFmtId="0" fontId="53" fillId="0" borderId="0" xfId="0" applyFont="1" applyFill="1" applyBorder="1" applyAlignment="1">
      <alignment horizontal="left" wrapText="1"/>
    </xf>
    <xf numFmtId="3" fontId="20" fillId="0" borderId="0" xfId="0" applyNumberFormat="1" applyFont="1" applyAlignment="1">
      <alignment vertical="center"/>
    </xf>
    <xf numFmtId="0" fontId="35" fillId="0" borderId="19" xfId="0" applyFont="1" applyBorder="1" applyAlignment="1" applyProtection="1">
      <alignment horizontal="center" vertical="center" wrapText="1"/>
    </xf>
    <xf numFmtId="0" fontId="8" fillId="0" borderId="0" xfId="0" applyFont="1" applyAlignment="1">
      <alignment horizontal="right" vertical="center"/>
    </xf>
    <xf numFmtId="3" fontId="8" fillId="0" borderId="19" xfId="1153" applyNumberFormat="1" applyFont="1" applyFill="1" applyBorder="1" applyAlignment="1">
      <alignment horizontal="right" vertical="center" indent="2"/>
    </xf>
    <xf numFmtId="3" fontId="8" fillId="0" borderId="19" xfId="0" quotePrefix="1" applyNumberFormat="1" applyFont="1" applyFill="1" applyBorder="1" applyAlignment="1">
      <alignment horizontal="right" vertical="center" indent="2"/>
    </xf>
    <xf numFmtId="176" fontId="8" fillId="0" borderId="19" xfId="1153" applyNumberFormat="1" applyFont="1" applyFill="1" applyBorder="1" applyAlignment="1">
      <alignment horizontal="right" vertical="center" indent="2"/>
    </xf>
    <xf numFmtId="179" fontId="8" fillId="0" borderId="19" xfId="1153" applyNumberFormat="1" applyFont="1" applyBorder="1" applyAlignment="1">
      <alignment horizontal="right" vertical="center" wrapText="1" indent="5"/>
    </xf>
    <xf numFmtId="179" fontId="8" fillId="0" borderId="19" xfId="1153" applyNumberFormat="1" applyFont="1" applyBorder="1" applyAlignment="1">
      <alignment horizontal="right" vertical="center" wrapText="1" indent="3"/>
    </xf>
    <xf numFmtId="4" fontId="0" fillId="0" borderId="0" xfId="0" applyNumberFormat="1" applyBorder="1"/>
    <xf numFmtId="181" fontId="137" fillId="0" borderId="19" xfId="1152" applyNumberFormat="1" applyFont="1" applyFill="1" applyBorder="1" applyAlignment="1">
      <alignment horizontal="center" vertical="center"/>
    </xf>
    <xf numFmtId="180" fontId="137" fillId="0" borderId="19" xfId="1152" applyNumberFormat="1" applyFont="1" applyFill="1" applyBorder="1" applyAlignment="1">
      <alignment horizontal="center" vertical="center" wrapText="1"/>
    </xf>
    <xf numFmtId="0" fontId="184" fillId="0" borderId="0" xfId="0" applyFont="1" applyAlignment="1" applyProtection="1">
      <alignment wrapText="1" readingOrder="1"/>
      <protection locked="0"/>
    </xf>
    <xf numFmtId="3" fontId="8" fillId="0" borderId="19" xfId="1165" applyNumberFormat="1" applyFont="1" applyFill="1" applyBorder="1" applyAlignment="1">
      <alignment horizontal="right" vertical="center" indent="2"/>
    </xf>
    <xf numFmtId="176" fontId="8" fillId="0" borderId="19" xfId="1165" applyNumberFormat="1" applyFont="1" applyFill="1" applyBorder="1" applyAlignment="1">
      <alignment horizontal="right" vertical="center" indent="2"/>
    </xf>
    <xf numFmtId="0" fontId="143" fillId="0" borderId="0" xfId="0" applyFont="1" applyBorder="1" applyAlignment="1">
      <alignment wrapText="1"/>
    </xf>
    <xf numFmtId="1" fontId="181" fillId="0" borderId="19" xfId="0" applyNumberFormat="1"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8" fillId="0" borderId="19" xfId="0" applyFont="1" applyFill="1" applyBorder="1" applyAlignment="1">
      <alignment horizontal="center"/>
    </xf>
    <xf numFmtId="0" fontId="8" fillId="58" borderId="19" xfId="0" applyFont="1" applyFill="1" applyBorder="1" applyAlignment="1">
      <alignment horizontal="left"/>
    </xf>
    <xf numFmtId="0" fontId="35" fillId="0" borderId="19" xfId="0" applyFont="1" applyBorder="1" applyAlignment="1">
      <alignment horizontal="center" vertical="center" textRotation="90" wrapText="1"/>
    </xf>
    <xf numFmtId="0" fontId="35" fillId="0" borderId="19" xfId="0" applyFont="1" applyFill="1" applyBorder="1" applyAlignment="1">
      <alignment horizontal="center" vertical="center" textRotation="90" wrapText="1"/>
    </xf>
    <xf numFmtId="0" fontId="115" fillId="0" borderId="19" xfId="0" applyFont="1" applyBorder="1" applyAlignment="1">
      <alignment horizontal="center" vertical="center" wrapText="1"/>
    </xf>
    <xf numFmtId="0" fontId="67" fillId="0" borderId="19" xfId="0" applyFont="1" applyBorder="1" applyAlignment="1">
      <alignment horizontal="center" vertical="center" wrapText="1"/>
    </xf>
    <xf numFmtId="0" fontId="35" fillId="53" borderId="19" xfId="0" applyFont="1" applyFill="1" applyBorder="1" applyAlignment="1">
      <alignment horizontal="center" vertical="center" textRotation="90" wrapText="1"/>
    </xf>
    <xf numFmtId="0" fontId="8" fillId="58" borderId="19" xfId="0" applyFont="1" applyFill="1" applyBorder="1"/>
    <xf numFmtId="3" fontId="100" fillId="0" borderId="19" xfId="1152" applyNumberFormat="1" applyFont="1" applyFill="1" applyBorder="1" applyAlignment="1">
      <alignment horizontal="center" vertical="center"/>
    </xf>
    <xf numFmtId="49" fontId="133" fillId="0" borderId="0" xfId="1226" applyNumberFormat="1" applyFont="1" applyAlignment="1">
      <alignment vertical="center"/>
    </xf>
    <xf numFmtId="9" fontId="33" fillId="0" borderId="0" xfId="1900" applyNumberFormat="1" applyAlignment="1">
      <alignment vertical="center"/>
    </xf>
    <xf numFmtId="3" fontId="20" fillId="0" borderId="19" xfId="0" applyNumberFormat="1" applyFont="1" applyBorder="1" applyAlignment="1">
      <alignment horizontal="center"/>
    </xf>
    <xf numFmtId="1" fontId="30" fillId="0" borderId="0" xfId="0" applyNumberFormat="1" applyFont="1" applyFill="1"/>
    <xf numFmtId="0" fontId="35" fillId="0" borderId="19" xfId="0" applyFont="1" applyBorder="1" applyAlignment="1">
      <alignment horizontal="center" vertical="center" wrapText="1"/>
    </xf>
    <xf numFmtId="3" fontId="8" fillId="0" borderId="19" xfId="0" applyNumberFormat="1" applyFont="1" applyFill="1" applyBorder="1" applyAlignment="1">
      <alignment horizontal="center" wrapText="1"/>
    </xf>
    <xf numFmtId="3" fontId="8" fillId="0" borderId="19" xfId="0" applyNumberFormat="1" applyFont="1" applyBorder="1" applyAlignment="1">
      <alignment horizontal="center" wrapText="1"/>
    </xf>
    <xf numFmtId="3" fontId="20" fillId="0" borderId="19" xfId="0" applyNumberFormat="1" applyFont="1" applyBorder="1" applyAlignment="1">
      <alignment horizontal="center" wrapText="1"/>
    </xf>
    <xf numFmtId="3" fontId="8" fillId="0" borderId="19" xfId="1252" applyNumberFormat="1" applyFont="1" applyFill="1" applyBorder="1" applyAlignment="1" applyProtection="1">
      <alignment horizontal="center"/>
    </xf>
    <xf numFmtId="1" fontId="8" fillId="0" borderId="19" xfId="0" applyNumberFormat="1" applyFont="1" applyBorder="1" applyAlignment="1">
      <alignment horizontal="center" wrapText="1"/>
    </xf>
    <xf numFmtId="1" fontId="8" fillId="0" borderId="19" xfId="0" applyNumberFormat="1" applyFont="1" applyFill="1" applyBorder="1" applyAlignment="1">
      <alignment horizontal="center" wrapText="1"/>
    </xf>
    <xf numFmtId="1" fontId="8" fillId="53" borderId="19" xfId="0" applyNumberFormat="1" applyFont="1" applyFill="1" applyBorder="1" applyAlignment="1">
      <alignment horizontal="center" wrapText="1"/>
    </xf>
    <xf numFmtId="9" fontId="8" fillId="0" borderId="19" xfId="0" applyNumberFormat="1" applyFont="1" applyBorder="1" applyAlignment="1">
      <alignment horizontal="center" wrapText="1"/>
    </xf>
    <xf numFmtId="3" fontId="100" fillId="0" borderId="41" xfId="0" applyNumberFormat="1" applyFont="1" applyBorder="1" applyAlignment="1">
      <alignment horizontal="center"/>
    </xf>
    <xf numFmtId="0" fontId="100" fillId="0" borderId="19" xfId="0" applyFont="1" applyBorder="1" applyAlignment="1">
      <alignment horizontal="center"/>
    </xf>
    <xf numFmtId="3" fontId="100" fillId="0" borderId="19" xfId="0" applyNumberFormat="1" applyFont="1" applyBorder="1" applyAlignment="1">
      <alignment horizontal="center"/>
    </xf>
    <xf numFmtId="3" fontId="100" fillId="0" borderId="19" xfId="0" applyNumberFormat="1" applyFont="1" applyFill="1" applyBorder="1" applyAlignment="1">
      <alignment horizontal="center"/>
    </xf>
    <xf numFmtId="0" fontId="100" fillId="0" borderId="19" xfId="0" applyFont="1" applyBorder="1" applyAlignment="1">
      <alignment horizontal="center" vertical="center"/>
    </xf>
    <xf numFmtId="3" fontId="100" fillId="0" borderId="19" xfId="0" applyNumberFormat="1" applyFont="1" applyBorder="1" applyAlignment="1">
      <alignment horizontal="center" vertical="center"/>
    </xf>
    <xf numFmtId="0" fontId="100" fillId="0" borderId="41" xfId="0" applyFont="1" applyBorder="1" applyAlignment="1">
      <alignment horizontal="center" vertical="center"/>
    </xf>
    <xf numFmtId="0" fontId="8" fillId="0" borderId="19" xfId="0" applyFont="1" applyFill="1" applyBorder="1" applyAlignment="1">
      <alignment horizontal="center" vertical="center" wrapText="1"/>
    </xf>
    <xf numFmtId="0" fontId="96" fillId="0" borderId="0" xfId="1224" applyFont="1" applyAlignment="1">
      <alignment vertical="center"/>
    </xf>
    <xf numFmtId="0" fontId="96" fillId="0" borderId="0" xfId="1225" applyFont="1" applyAlignment="1">
      <alignment vertical="center"/>
    </xf>
    <xf numFmtId="0" fontId="8" fillId="0" borderId="0" xfId="0" applyFont="1" applyBorder="1" applyAlignment="1">
      <alignment wrapText="1"/>
    </xf>
    <xf numFmtId="0" fontId="32" fillId="0" borderId="0" xfId="0" applyFont="1"/>
    <xf numFmtId="0" fontId="178" fillId="0" borderId="19" xfId="0" applyFont="1" applyBorder="1"/>
    <xf numFmtId="0" fontId="32" fillId="0" borderId="21" xfId="0" applyFont="1" applyBorder="1"/>
    <xf numFmtId="3" fontId="32" fillId="0" borderId="21" xfId="0" applyNumberFormat="1" applyFont="1" applyBorder="1"/>
    <xf numFmtId="0" fontId="32" fillId="0" borderId="43" xfId="0" applyFont="1" applyBorder="1"/>
    <xf numFmtId="3" fontId="32" fillId="0" borderId="43" xfId="0" applyNumberFormat="1" applyFont="1" applyBorder="1"/>
    <xf numFmtId="3" fontId="32" fillId="0" borderId="33" xfId="0" applyNumberFormat="1" applyFont="1" applyBorder="1"/>
    <xf numFmtId="3" fontId="32" fillId="0" borderId="39" xfId="0" applyNumberFormat="1" applyFont="1" applyBorder="1"/>
    <xf numFmtId="3" fontId="32" fillId="0" borderId="45" xfId="0" applyNumberFormat="1" applyFont="1" applyBorder="1"/>
    <xf numFmtId="0" fontId="178" fillId="0" borderId="19" xfId="0" applyFont="1" applyBorder="1" applyAlignment="1">
      <alignment horizontal="center" vertical="center"/>
    </xf>
    <xf numFmtId="0" fontId="32" fillId="0" borderId="51" xfId="0" applyFont="1" applyBorder="1"/>
    <xf numFmtId="0" fontId="32" fillId="0" borderId="0" xfId="0" applyFont="1" applyBorder="1"/>
    <xf numFmtId="3" fontId="32" fillId="0" borderId="44" xfId="0" applyNumberFormat="1" applyFont="1" applyBorder="1"/>
    <xf numFmtId="0" fontId="187" fillId="0" borderId="0" xfId="0" applyFont="1" applyBorder="1" applyAlignment="1"/>
    <xf numFmtId="0" fontId="178" fillId="0" borderId="0" xfId="0" applyFont="1" applyBorder="1" applyAlignment="1">
      <alignment vertical="center"/>
    </xf>
    <xf numFmtId="0" fontId="147" fillId="0" borderId="0" xfId="0" applyFont="1" applyBorder="1"/>
    <xf numFmtId="0" fontId="35" fillId="0" borderId="0" xfId="0" applyFont="1" applyBorder="1" applyAlignment="1">
      <alignment horizontal="center"/>
    </xf>
    <xf numFmtId="0" fontId="35" fillId="0" borderId="19" xfId="0" applyFont="1" applyBorder="1" applyAlignment="1">
      <alignment horizontal="center" vertical="center"/>
    </xf>
    <xf numFmtId="0" fontId="8" fillId="0" borderId="19" xfId="0" applyFont="1" applyFill="1" applyBorder="1" applyAlignment="1">
      <alignment horizontal="left"/>
    </xf>
    <xf numFmtId="0" fontId="178" fillId="0" borderId="37" xfId="0" applyFont="1" applyBorder="1" applyAlignment="1">
      <alignment horizontal="center" vertical="center"/>
    </xf>
    <xf numFmtId="0" fontId="35" fillId="0" borderId="19" xfId="0" applyFont="1" applyFill="1" applyBorder="1" applyAlignment="1">
      <alignment horizontal="center" vertical="center" wrapText="1"/>
    </xf>
    <xf numFmtId="0" fontId="35" fillId="0" borderId="19" xfId="0" applyFont="1" applyBorder="1" applyAlignment="1">
      <alignment horizontal="center" vertical="center" wrapText="1"/>
    </xf>
    <xf numFmtId="9" fontId="8" fillId="0" borderId="19" xfId="0" applyNumberFormat="1" applyFont="1" applyBorder="1" applyAlignment="1">
      <alignment horizontal="center" vertical="center"/>
    </xf>
    <xf numFmtId="175" fontId="8" fillId="0" borderId="19" xfId="0" applyNumberFormat="1" applyFont="1" applyBorder="1" applyAlignment="1">
      <alignment horizontal="right"/>
    </xf>
    <xf numFmtId="0" fontId="115" fillId="0" borderId="19" xfId="0" applyFont="1" applyBorder="1" applyAlignment="1">
      <alignment horizontal="center" wrapText="1"/>
    </xf>
    <xf numFmtId="0" fontId="53" fillId="0" borderId="19" xfId="0" applyFont="1" applyBorder="1" applyAlignment="1">
      <alignment horizontal="left"/>
    </xf>
    <xf numFmtId="0" fontId="53" fillId="0" borderId="19" xfId="0" applyFont="1" applyBorder="1" applyAlignment="1">
      <alignment horizontal="left" wrapText="1"/>
    </xf>
    <xf numFmtId="0" fontId="88" fillId="0" borderId="19" xfId="0" applyFont="1" applyBorder="1" applyAlignment="1">
      <alignment horizontal="left" wrapText="1"/>
    </xf>
    <xf numFmtId="164" fontId="99" fillId="0" borderId="19" xfId="0" applyNumberFormat="1" applyFont="1" applyFill="1" applyBorder="1" applyAlignment="1">
      <alignment horizontal="center" vertical="center" wrapText="1"/>
    </xf>
    <xf numFmtId="164" fontId="99" fillId="0" borderId="19" xfId="0" applyNumberFormat="1" applyFont="1" applyFill="1" applyBorder="1" applyAlignment="1">
      <alignment horizontal="left" vertical="center" wrapText="1"/>
    </xf>
    <xf numFmtId="164" fontId="96" fillId="0" borderId="19" xfId="0" applyNumberFormat="1" applyFont="1" applyFill="1" applyBorder="1" applyAlignment="1">
      <alignment horizontal="left" vertical="center" wrapText="1"/>
    </xf>
    <xf numFmtId="164" fontId="53" fillId="0" borderId="19" xfId="0" applyNumberFormat="1" applyFont="1" applyFill="1" applyBorder="1" applyAlignment="1">
      <alignment horizontal="left" vertical="center" wrapText="1"/>
    </xf>
    <xf numFmtId="0" fontId="98" fillId="0" borderId="19" xfId="1153" applyNumberFormat="1" applyFont="1" applyFill="1" applyBorder="1" applyAlignment="1">
      <alignment horizontal="center" vertical="center" wrapText="1"/>
    </xf>
    <xf numFmtId="0" fontId="98" fillId="0" borderId="19" xfId="1153" applyNumberFormat="1" applyFont="1" applyFill="1" applyBorder="1" applyAlignment="1">
      <alignment horizontal="left"/>
    </xf>
    <xf numFmtId="0" fontId="100" fillId="0" borderId="19" xfId="1153" applyNumberFormat="1" applyFont="1" applyFill="1" applyBorder="1" applyAlignment="1">
      <alignment horizontal="left"/>
    </xf>
    <xf numFmtId="17" fontId="100" fillId="0" borderId="19" xfId="1152" applyNumberFormat="1" applyFont="1" applyBorder="1" applyAlignment="1">
      <alignment horizontal="center"/>
    </xf>
    <xf numFmtId="17" fontId="30"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188" fillId="0" borderId="0" xfId="1136" applyFont="1" applyFill="1" applyBorder="1" applyAlignment="1" applyProtection="1">
      <alignment horizontal="center" vertical="center"/>
    </xf>
    <xf numFmtId="0" fontId="178" fillId="0" borderId="37" xfId="0" applyFont="1" applyBorder="1" applyAlignment="1">
      <alignment horizontal="center" vertical="center" wrapText="1"/>
    </xf>
    <xf numFmtId="0" fontId="188" fillId="0" borderId="0" xfId="1136" applyFont="1" applyBorder="1" applyAlignment="1" applyProtection="1">
      <alignment horizontal="center" vertical="center"/>
    </xf>
    <xf numFmtId="0" fontId="35" fillId="0" borderId="20" xfId="1884" applyFont="1" applyBorder="1" applyAlignment="1" applyProtection="1">
      <alignment horizontal="center" vertical="top"/>
    </xf>
    <xf numFmtId="0" fontId="53" fillId="0" borderId="0" xfId="1224" applyFont="1" applyAlignment="1">
      <alignment vertical="center"/>
    </xf>
    <xf numFmtId="9" fontId="43" fillId="0" borderId="0" xfId="1900" applyFont="1"/>
    <xf numFmtId="0" fontId="188" fillId="0" borderId="0" xfId="1136" applyFont="1" applyFill="1" applyBorder="1" applyAlignment="1" applyProtection="1">
      <alignment horizontal="center" vertical="top"/>
    </xf>
    <xf numFmtId="0" fontId="8" fillId="0" borderId="0" xfId="1884" applyFont="1" applyBorder="1" applyAlignment="1" applyProtection="1">
      <alignment horizontal="right" vertical="center"/>
    </xf>
    <xf numFmtId="0" fontId="188" fillId="0" borderId="0" xfId="1136" applyFont="1" applyBorder="1" applyAlignment="1" applyProtection="1">
      <alignment horizontal="center" vertical="top"/>
    </xf>
    <xf numFmtId="0" fontId="53" fillId="0" borderId="0" xfId="1225" applyFont="1" applyBorder="1" applyAlignment="1">
      <alignment vertical="center"/>
    </xf>
    <xf numFmtId="0" fontId="53" fillId="0" borderId="0" xfId="1225" applyFont="1" applyAlignment="1">
      <alignment vertical="center"/>
    </xf>
    <xf numFmtId="3" fontId="190" fillId="0" borderId="34" xfId="0" applyNumberFormat="1" applyFont="1" applyBorder="1"/>
    <xf numFmtId="3" fontId="190" fillId="0" borderId="35" xfId="0" applyNumberFormat="1" applyFont="1" applyBorder="1"/>
    <xf numFmtId="173" fontId="96" fillId="0" borderId="19" xfId="0" applyNumberFormat="1" applyFont="1" applyBorder="1" applyAlignment="1">
      <alignment horizontal="center" vertical="center"/>
    </xf>
    <xf numFmtId="3" fontId="191" fillId="0" borderId="19" xfId="0" applyNumberFormat="1" applyFont="1" applyFill="1" applyBorder="1" applyAlignment="1">
      <alignment horizontal="center"/>
    </xf>
    <xf numFmtId="3" fontId="30" fillId="0" borderId="0" xfId="0" applyNumberFormat="1" applyFont="1" applyBorder="1" applyAlignment="1">
      <alignment horizontal="left" vertical="top" wrapText="1"/>
    </xf>
    <xf numFmtId="1" fontId="33" fillId="0" borderId="0" xfId="1900" applyNumberFormat="1"/>
    <xf numFmtId="173" fontId="176" fillId="0" borderId="19" xfId="0" applyNumberFormat="1" applyFont="1" applyBorder="1" applyAlignment="1">
      <alignment horizontal="center" vertical="center"/>
    </xf>
    <xf numFmtId="0" fontId="35" fillId="0" borderId="19" xfId="0" applyFont="1" applyFill="1" applyBorder="1" applyAlignment="1">
      <alignment horizontal="center" vertical="center" wrapText="1"/>
    </xf>
    <xf numFmtId="0" fontId="35" fillId="0" borderId="19" xfId="0" applyFont="1" applyFill="1" applyBorder="1" applyAlignment="1">
      <alignment horizontal="center" vertical="center"/>
    </xf>
    <xf numFmtId="0" fontId="88" fillId="0" borderId="21" xfId="0" applyFont="1" applyBorder="1" applyAlignment="1">
      <alignment horizontal="left" wrapText="1"/>
    </xf>
    <xf numFmtId="0" fontId="30" fillId="0" borderId="37" xfId="0" applyFont="1" applyBorder="1"/>
    <xf numFmtId="3" fontId="28" fillId="0" borderId="20" xfId="0" applyNumberFormat="1" applyFont="1" applyBorder="1"/>
    <xf numFmtId="3" fontId="28" fillId="0" borderId="20" xfId="0" applyNumberFormat="1" applyFont="1" applyFill="1" applyBorder="1"/>
    <xf numFmtId="0" fontId="0" fillId="0" borderId="41" xfId="0" applyBorder="1"/>
    <xf numFmtId="173" fontId="96" fillId="0" borderId="21" xfId="0" applyNumberFormat="1" applyFont="1" applyBorder="1" applyAlignment="1">
      <alignment horizontal="center" vertical="center"/>
    </xf>
    <xf numFmtId="0" fontId="115" fillId="53" borderId="19" xfId="0" applyFont="1" applyFill="1" applyBorder="1" applyAlignment="1">
      <alignment horizontal="center" vertical="center" wrapText="1"/>
    </xf>
    <xf numFmtId="1" fontId="8" fillId="53" borderId="19" xfId="0" applyNumberFormat="1" applyFont="1" applyFill="1" applyBorder="1" applyAlignment="1">
      <alignment horizontal="center" vertical="center"/>
    </xf>
    <xf numFmtId="49" fontId="8" fillId="53" borderId="19" xfId="0" applyNumberFormat="1" applyFont="1" applyFill="1" applyBorder="1" applyAlignment="1">
      <alignment horizontal="center" vertical="center"/>
    </xf>
    <xf numFmtId="0" fontId="88" fillId="0" borderId="19" xfId="0" applyFont="1" applyFill="1" applyBorder="1" applyAlignment="1">
      <alignment horizontal="center" vertical="center"/>
    </xf>
    <xf numFmtId="49" fontId="53" fillId="0" borderId="19" xfId="0" quotePrefix="1"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73" fontId="182" fillId="59" borderId="19" xfId="0" applyNumberFormat="1" applyFont="1" applyFill="1" applyBorder="1"/>
    <xf numFmtId="0" fontId="175" fillId="0" borderId="0" xfId="0" applyFont="1" applyFill="1" applyBorder="1"/>
    <xf numFmtId="173" fontId="100" fillId="0" borderId="19" xfId="1153" applyNumberFormat="1" applyFont="1" applyFill="1" applyBorder="1" applyAlignment="1">
      <alignment horizontal="center" vertical="center"/>
    </xf>
    <xf numFmtId="0" fontId="177" fillId="0" borderId="0" xfId="0" applyFont="1"/>
    <xf numFmtId="1" fontId="8" fillId="58" borderId="19" xfId="0" applyNumberFormat="1" applyFont="1" applyFill="1" applyBorder="1" applyAlignment="1">
      <alignment horizontal="center" vertical="center"/>
    </xf>
    <xf numFmtId="1" fontId="30" fillId="0" borderId="0" xfId="0" applyNumberFormat="1" applyFont="1" applyAlignment="1"/>
    <xf numFmtId="0" fontId="178" fillId="0" borderId="37" xfId="0" applyFont="1" applyBorder="1" applyAlignment="1">
      <alignment horizontal="center" vertical="center"/>
    </xf>
    <xf numFmtId="0" fontId="178" fillId="0" borderId="19" xfId="0" applyFont="1" applyBorder="1" applyAlignment="1">
      <alignment horizontal="center" vertical="center"/>
    </xf>
    <xf numFmtId="3" fontId="32" fillId="0" borderId="0" xfId="0" applyNumberFormat="1" applyFont="1" applyBorder="1"/>
    <xf numFmtId="0" fontId="32" fillId="0" borderId="39" xfId="0" applyFont="1" applyBorder="1"/>
    <xf numFmtId="0" fontId="32" fillId="0" borderId="45" xfId="0" applyFont="1" applyBorder="1"/>
    <xf numFmtId="0" fontId="32" fillId="0" borderId="38" xfId="0" applyFont="1" applyBorder="1"/>
    <xf numFmtId="0" fontId="35" fillId="0" borderId="19" xfId="0" applyFont="1" applyBorder="1" applyAlignment="1">
      <alignment horizontal="center" vertical="center"/>
    </xf>
    <xf numFmtId="0" fontId="35" fillId="0" borderId="19" xfId="0" applyFont="1" applyBorder="1" applyAlignment="1">
      <alignment horizontal="center" vertical="center"/>
    </xf>
    <xf numFmtId="0" fontId="35" fillId="0" borderId="19" xfId="0" applyFont="1" applyBorder="1" applyAlignment="1">
      <alignment horizontal="center" vertical="center"/>
    </xf>
    <xf numFmtId="0" fontId="8" fillId="0" borderId="19" xfId="0" applyFont="1" applyFill="1" applyBorder="1" applyAlignment="1">
      <alignment horizontal="center"/>
    </xf>
    <xf numFmtId="49" fontId="35" fillId="0" borderId="19" xfId="0" applyNumberFormat="1" applyFont="1" applyFill="1" applyBorder="1" applyAlignment="1">
      <alignment horizontal="center" vertical="center" wrapText="1"/>
    </xf>
    <xf numFmtId="0" fontId="30" fillId="58" borderId="0" xfId="0" applyFont="1" applyFill="1"/>
    <xf numFmtId="3" fontId="8" fillId="58" borderId="19" xfId="0" applyNumberFormat="1" applyFont="1" applyFill="1" applyBorder="1" applyAlignment="1" applyProtection="1">
      <alignment horizontal="center"/>
    </xf>
    <xf numFmtId="0" fontId="185" fillId="0" borderId="0" xfId="0" applyFont="1"/>
    <xf numFmtId="0" fontId="185" fillId="0" borderId="0" xfId="0" applyFont="1" applyAlignment="1"/>
    <xf numFmtId="0" fontId="35" fillId="0" borderId="0" xfId="0" applyFont="1" applyAlignment="1">
      <alignment horizontal="center" vertical="center"/>
    </xf>
    <xf numFmtId="1" fontId="176" fillId="0" borderId="19" xfId="0" applyNumberFormat="1" applyFont="1" applyFill="1" applyBorder="1" applyAlignment="1">
      <alignment horizontal="center"/>
    </xf>
    <xf numFmtId="3" fontId="8" fillId="0" borderId="19" xfId="1152" applyNumberFormat="1" applyFont="1" applyBorder="1" applyAlignment="1">
      <alignment horizontal="center" vertical="center"/>
    </xf>
    <xf numFmtId="1" fontId="176" fillId="0" borderId="19" xfId="1153" applyNumberFormat="1" applyFont="1" applyFill="1" applyBorder="1" applyAlignment="1">
      <alignment horizontal="center"/>
    </xf>
    <xf numFmtId="0" fontId="177" fillId="0" borderId="0" xfId="0" applyFont="1" applyBorder="1"/>
    <xf numFmtId="17" fontId="175" fillId="0" borderId="0" xfId="0" applyNumberFormat="1" applyFont="1" applyBorder="1" applyAlignment="1">
      <alignment horizontal="left" vertical="center"/>
    </xf>
    <xf numFmtId="0" fontId="175" fillId="0" borderId="0" xfId="0" applyFont="1" applyBorder="1"/>
    <xf numFmtId="10" fontId="8" fillId="0" borderId="19" xfId="0" applyNumberFormat="1" applyFont="1" applyFill="1" applyBorder="1" applyAlignment="1">
      <alignment horizontal="center" vertical="center"/>
    </xf>
    <xf numFmtId="173" fontId="0" fillId="0" borderId="0" xfId="0" applyNumberFormat="1"/>
    <xf numFmtId="3" fontId="0" fillId="0" borderId="0" xfId="0" applyNumberFormat="1" applyFont="1" applyBorder="1"/>
    <xf numFmtId="3" fontId="0" fillId="0" borderId="0" xfId="0" applyNumberFormat="1" applyAlignment="1">
      <alignment wrapText="1"/>
    </xf>
    <xf numFmtId="175" fontId="176" fillId="0" borderId="19" xfId="0" applyNumberFormat="1" applyFont="1" applyBorder="1" applyAlignment="1" applyProtection="1">
      <alignment horizontal="center" vertical="center"/>
    </xf>
    <xf numFmtId="0" fontId="192" fillId="0" borderId="0" xfId="0" applyFont="1" applyAlignment="1">
      <alignment vertical="center"/>
    </xf>
    <xf numFmtId="0" fontId="192" fillId="0" borderId="0" xfId="0" applyFont="1" applyAlignment="1">
      <alignment horizontal="justify" vertical="center"/>
    </xf>
    <xf numFmtId="209" fontId="8" fillId="0" borderId="41" xfId="0" applyNumberFormat="1" applyFont="1" applyBorder="1" applyAlignment="1" applyProtection="1">
      <alignment horizontal="center" vertical="center"/>
    </xf>
    <xf numFmtId="1" fontId="32" fillId="0" borderId="19" xfId="1153" applyNumberFormat="1" applyFont="1" applyFill="1" applyBorder="1" applyAlignment="1">
      <alignment horizontal="center"/>
    </xf>
    <xf numFmtId="1" fontId="28" fillId="0" borderId="19" xfId="1153" applyNumberFormat="1" applyFont="1" applyFill="1" applyBorder="1" applyAlignment="1">
      <alignment horizontal="center"/>
    </xf>
    <xf numFmtId="0" fontId="8" fillId="0" borderId="19" xfId="0" applyFont="1" applyFill="1" applyBorder="1" applyAlignment="1">
      <alignment horizontal="center" vertical="center" wrapText="1"/>
    </xf>
    <xf numFmtId="0" fontId="53" fillId="0" borderId="19" xfId="0" applyFont="1" applyFill="1" applyBorder="1" applyAlignment="1">
      <alignment horizontal="left" vertical="top" wrapText="1"/>
    </xf>
    <xf numFmtId="3" fontId="8" fillId="0" borderId="0" xfId="0" applyNumberFormat="1" applyFont="1" applyFill="1" applyBorder="1"/>
    <xf numFmtId="1" fontId="32" fillId="0" borderId="0" xfId="1900" applyNumberFormat="1" applyFont="1" applyAlignment="1"/>
    <xf numFmtId="1" fontId="33" fillId="0" borderId="0" xfId="1900" applyNumberFormat="1" applyAlignment="1"/>
    <xf numFmtId="0" fontId="177" fillId="0" borderId="0" xfId="0" applyFont="1" applyBorder="1" applyAlignment="1"/>
    <xf numFmtId="180" fontId="175" fillId="0" borderId="0" xfId="0" applyNumberFormat="1" applyFont="1" applyBorder="1"/>
    <xf numFmtId="0" fontId="35" fillId="0" borderId="19" xfId="0" applyFont="1" applyBorder="1" applyAlignment="1">
      <alignment horizontal="center" vertical="center" wrapText="1"/>
    </xf>
    <xf numFmtId="9" fontId="33" fillId="0" borderId="0" xfId="1900" applyFill="1"/>
    <xf numFmtId="3" fontId="8" fillId="53" borderId="19" xfId="0" applyNumberFormat="1" applyFont="1" applyFill="1" applyBorder="1" applyAlignment="1">
      <alignment horizontal="center" wrapText="1"/>
    </xf>
    <xf numFmtId="192" fontId="102" fillId="58" borderId="19" xfId="0" applyNumberFormat="1" applyFont="1" applyFill="1" applyBorder="1" applyAlignment="1">
      <alignment horizontal="center" vertical="center" wrapText="1"/>
    </xf>
    <xf numFmtId="175" fontId="20" fillId="58" borderId="19" xfId="0" applyNumberFormat="1" applyFont="1" applyFill="1" applyBorder="1" applyAlignment="1">
      <alignment horizontal="center" vertical="center"/>
    </xf>
    <xf numFmtId="175" fontId="33" fillId="0" borderId="36" xfId="1900" applyNumberFormat="1" applyBorder="1" applyAlignment="1">
      <alignment vertical="center" wrapText="1"/>
    </xf>
    <xf numFmtId="4" fontId="193" fillId="0" borderId="0" xfId="0" applyNumberFormat="1" applyFont="1"/>
    <xf numFmtId="0" fontId="194" fillId="0" borderId="0" xfId="0" applyFont="1" applyBorder="1" applyAlignment="1">
      <alignment horizontal="right" vertical="center" wrapText="1"/>
    </xf>
    <xf numFmtId="173" fontId="175" fillId="0" borderId="0" xfId="0" applyNumberFormat="1" applyFont="1" applyBorder="1"/>
    <xf numFmtId="0" fontId="30" fillId="0" borderId="0" xfId="0" applyFont="1" applyAlignment="1">
      <alignment vertical="center" wrapText="1"/>
    </xf>
    <xf numFmtId="0" fontId="30" fillId="0" borderId="0" xfId="0" applyFont="1" applyAlignment="1">
      <alignment vertical="center"/>
    </xf>
    <xf numFmtId="0" fontId="175" fillId="0" borderId="0" xfId="0" applyFont="1" applyFill="1" applyAlignment="1"/>
    <xf numFmtId="0" fontId="96" fillId="0" borderId="0" xfId="1224" applyFont="1" applyAlignment="1">
      <alignment vertical="center"/>
    </xf>
    <xf numFmtId="0" fontId="178" fillId="0" borderId="37" xfId="0" applyFont="1" applyBorder="1" applyAlignment="1">
      <alignment horizontal="center" vertical="center"/>
    </xf>
    <xf numFmtId="0" fontId="178" fillId="0" borderId="37" xfId="0" applyFont="1" applyBorder="1" applyAlignment="1">
      <alignment horizontal="center" vertical="center" wrapText="1"/>
    </xf>
    <xf numFmtId="1" fontId="176" fillId="0" borderId="19" xfId="0" applyNumberFormat="1" applyFont="1" applyFill="1" applyBorder="1" applyAlignment="1">
      <alignment horizontal="center" vertical="center"/>
    </xf>
    <xf numFmtId="0" fontId="8" fillId="0" borderId="19" xfId="0" applyFont="1" applyFill="1" applyBorder="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188" fillId="0" borderId="0" xfId="1136" applyFont="1" applyAlignment="1">
      <alignment horizontal="center" vertical="center"/>
    </xf>
    <xf numFmtId="180" fontId="35" fillId="0" borderId="19" xfId="1152" applyNumberFormat="1" applyFont="1" applyBorder="1" applyAlignment="1">
      <alignment horizontal="center" vertical="center" wrapText="1"/>
    </xf>
    <xf numFmtId="180" fontId="35" fillId="0" borderId="19" xfId="1152" applyNumberFormat="1" applyFont="1" applyFill="1" applyBorder="1" applyAlignment="1">
      <alignment horizontal="center" vertical="center" wrapText="1"/>
    </xf>
    <xf numFmtId="0" fontId="149" fillId="0" borderId="0" xfId="0" applyFont="1" applyAlignment="1">
      <alignment horizontal="right" vertical="center" wrapText="1"/>
    </xf>
    <xf numFmtId="175" fontId="8" fillId="58" borderId="19" xfId="0" applyNumberFormat="1" applyFont="1" applyFill="1" applyBorder="1" applyAlignment="1">
      <alignment horizontal="center" vertical="center"/>
    </xf>
    <xf numFmtId="0" fontId="53" fillId="0" borderId="0" xfId="0" applyFont="1" applyFill="1" applyBorder="1"/>
    <xf numFmtId="3" fontId="91" fillId="0" borderId="0" xfId="0" applyNumberFormat="1" applyFont="1" applyAlignment="1">
      <alignment wrapText="1"/>
    </xf>
    <xf numFmtId="3" fontId="116" fillId="0" borderId="0" xfId="1232" applyNumberFormat="1" applyFont="1" applyFill="1" applyAlignment="1" applyProtection="1">
      <alignment horizontal="right" vertical="top" wrapText="1" readingOrder="1"/>
      <protection locked="0"/>
    </xf>
    <xf numFmtId="3" fontId="8" fillId="53" borderId="19" xfId="0" quotePrefix="1" applyNumberFormat="1" applyFont="1" applyFill="1" applyBorder="1" applyAlignment="1">
      <alignment horizontal="right" vertical="center" indent="3"/>
    </xf>
    <xf numFmtId="173" fontId="8" fillId="53" borderId="19" xfId="0" applyNumberFormat="1" applyFont="1" applyFill="1" applyBorder="1" applyAlignment="1">
      <alignment horizontal="right" vertical="center" indent="3"/>
    </xf>
    <xf numFmtId="3" fontId="8" fillId="53" borderId="19" xfId="0" applyNumberFormat="1" applyFont="1" applyFill="1" applyBorder="1" applyAlignment="1">
      <alignment horizontal="right" vertical="center" indent="3"/>
    </xf>
    <xf numFmtId="176" fontId="8" fillId="53" borderId="19" xfId="0" applyNumberFormat="1" applyFont="1" applyFill="1" applyBorder="1" applyAlignment="1">
      <alignment horizontal="right" vertical="center" indent="3"/>
    </xf>
    <xf numFmtId="3" fontId="8" fillId="0" borderId="21" xfId="0" applyNumberFormat="1" applyFont="1" applyBorder="1" applyAlignment="1">
      <alignment horizontal="center" vertical="center"/>
    </xf>
    <xf numFmtId="177" fontId="195" fillId="0" borderId="19" xfId="1153" applyFont="1" applyBorder="1" applyAlignment="1">
      <alignment vertical="center" wrapText="1"/>
    </xf>
    <xf numFmtId="177" fontId="195" fillId="0" borderId="19" xfId="1153" applyFont="1" applyBorder="1" applyAlignment="1">
      <alignment vertical="center"/>
    </xf>
    <xf numFmtId="177" fontId="195" fillId="0" borderId="19" xfId="1153" quotePrefix="1" applyFont="1" applyFill="1" applyBorder="1" applyAlignment="1">
      <alignment vertical="center"/>
    </xf>
    <xf numFmtId="177" fontId="195" fillId="0" borderId="19" xfId="1153" applyFont="1" applyFill="1" applyBorder="1" applyAlignment="1">
      <alignment vertical="center"/>
    </xf>
    <xf numFmtId="0" fontId="35" fillId="0" borderId="0" xfId="0" applyFont="1" applyFill="1" applyBorder="1" applyAlignment="1">
      <alignment horizontal="center"/>
    </xf>
    <xf numFmtId="0" fontId="35" fillId="0" borderId="19" xfId="0" applyFont="1" applyBorder="1" applyAlignment="1">
      <alignment horizontal="center" vertical="center"/>
    </xf>
    <xf numFmtId="0" fontId="8" fillId="0" borderId="19" xfId="0" applyFont="1" applyFill="1" applyBorder="1" applyAlignment="1">
      <alignment horizontal="left" vertical="center"/>
    </xf>
    <xf numFmtId="0" fontId="8" fillId="0" borderId="19" xfId="0" applyFont="1" applyFill="1" applyBorder="1" applyAlignment="1">
      <alignment vertical="center"/>
    </xf>
    <xf numFmtId="4" fontId="35" fillId="0" borderId="0" xfId="0" applyNumberFormat="1" applyFont="1" applyFill="1"/>
    <xf numFmtId="0" fontId="197" fillId="0" borderId="19" xfId="0" applyFont="1" applyBorder="1" applyAlignment="1">
      <alignment horizontal="center"/>
    </xf>
    <xf numFmtId="3" fontId="8" fillId="0" borderId="0" xfId="0" applyNumberFormat="1" applyFont="1" applyFill="1" applyAlignment="1"/>
    <xf numFmtId="9" fontId="8" fillId="0" borderId="0" xfId="0" applyNumberFormat="1" applyFont="1" applyFill="1" applyAlignment="1"/>
    <xf numFmtId="0" fontId="31" fillId="0" borderId="0" xfId="0" applyFont="1" applyFill="1"/>
    <xf numFmtId="9" fontId="0" fillId="0" borderId="0" xfId="1900" applyFont="1"/>
    <xf numFmtId="175" fontId="176" fillId="0" borderId="19" xfId="0" applyNumberFormat="1" applyFont="1" applyBorder="1" applyAlignment="1">
      <alignment horizontal="center" vertical="center"/>
    </xf>
    <xf numFmtId="17" fontId="175" fillId="0" borderId="0" xfId="0" applyNumberFormat="1" applyFont="1" applyAlignment="1">
      <alignment horizontal="left" vertical="center"/>
    </xf>
    <xf numFmtId="0" fontId="30" fillId="0" borderId="0" xfId="1232" applyFont="1" applyBorder="1" applyAlignment="1">
      <alignment horizontal="left"/>
    </xf>
    <xf numFmtId="0" fontId="178" fillId="0" borderId="19" xfId="0" applyFont="1" applyBorder="1" applyAlignment="1">
      <alignment horizontal="center"/>
    </xf>
    <xf numFmtId="210" fontId="33" fillId="0" borderId="0" xfId="1153" applyNumberFormat="1" applyBorder="1" applyAlignment="1" applyProtection="1">
      <alignment horizontal="center" vertical="top" wrapText="1" readingOrder="1"/>
      <protection locked="0"/>
    </xf>
    <xf numFmtId="177" fontId="33" fillId="0" borderId="0" xfId="1153"/>
    <xf numFmtId="201" fontId="198" fillId="0" borderId="19" xfId="1153" applyNumberFormat="1" applyFont="1" applyBorder="1" applyAlignment="1">
      <alignment horizontal="center" vertical="center"/>
    </xf>
    <xf numFmtId="0" fontId="198" fillId="0" borderId="41" xfId="0" applyFont="1" applyBorder="1" applyAlignment="1">
      <alignment vertical="center"/>
    </xf>
    <xf numFmtId="3" fontId="198" fillId="0" borderId="19" xfId="1153" applyNumberFormat="1" applyFont="1" applyBorder="1" applyAlignment="1">
      <alignment horizontal="center" vertical="center"/>
    </xf>
    <xf numFmtId="0" fontId="198" fillId="0" borderId="19" xfId="0" applyFont="1" applyBorder="1" applyAlignment="1">
      <alignment vertical="center"/>
    </xf>
    <xf numFmtId="0" fontId="201" fillId="0" borderId="19" xfId="0" applyFont="1" applyBorder="1" applyAlignment="1">
      <alignment vertical="top" wrapText="1"/>
    </xf>
    <xf numFmtId="3" fontId="8" fillId="58" borderId="19" xfId="0" applyNumberFormat="1" applyFont="1" applyFill="1" applyBorder="1" applyAlignment="1">
      <alignment horizontal="center" wrapText="1"/>
    </xf>
    <xf numFmtId="9" fontId="8" fillId="58" borderId="19" xfId="0" applyNumberFormat="1" applyFont="1" applyFill="1" applyBorder="1" applyAlignment="1">
      <alignment horizontal="center" wrapText="1"/>
    </xf>
    <xf numFmtId="173" fontId="201" fillId="0" borderId="19" xfId="0" applyNumberFormat="1" applyFont="1" applyBorder="1" applyAlignment="1">
      <alignment horizontal="center" vertical="center"/>
    </xf>
    <xf numFmtId="3" fontId="8" fillId="58" borderId="19" xfId="0" applyNumberFormat="1" applyFont="1" applyFill="1" applyBorder="1" applyAlignment="1">
      <alignment horizontal="center" vertical="center" wrapText="1"/>
    </xf>
    <xf numFmtId="9" fontId="8" fillId="58" borderId="19" xfId="0" applyNumberFormat="1" applyFont="1" applyFill="1" applyBorder="1" applyAlignment="1">
      <alignment horizontal="center" vertical="center" wrapText="1"/>
    </xf>
    <xf numFmtId="3" fontId="176" fillId="0" borderId="19" xfId="1153" applyNumberFormat="1" applyFont="1" applyFill="1" applyBorder="1" applyAlignment="1">
      <alignment horizontal="center" vertical="center"/>
    </xf>
    <xf numFmtId="1" fontId="8" fillId="58" borderId="19" xfId="0" applyNumberFormat="1" applyFont="1" applyFill="1" applyBorder="1" applyAlignment="1">
      <alignment horizontal="center" wrapText="1"/>
    </xf>
    <xf numFmtId="1" fontId="96" fillId="58" borderId="19" xfId="0" applyNumberFormat="1" applyFont="1" applyFill="1" applyBorder="1" applyAlignment="1">
      <alignment horizontal="center" vertical="center"/>
    </xf>
    <xf numFmtId="173" fontId="202" fillId="59" borderId="19" xfId="0" applyNumberFormat="1" applyFont="1" applyFill="1" applyBorder="1"/>
    <xf numFmtId="184" fontId="20" fillId="0" borderId="0" xfId="0" applyNumberFormat="1" applyFont="1"/>
    <xf numFmtId="3" fontId="33" fillId="0" borderId="0" xfId="1900" applyNumberFormat="1"/>
    <xf numFmtId="0" fontId="118" fillId="0" borderId="19" xfId="0" applyFont="1" applyFill="1" applyBorder="1" applyAlignment="1">
      <alignment horizontal="center" vertical="center" wrapText="1"/>
    </xf>
    <xf numFmtId="0" fontId="118" fillId="0" borderId="21" xfId="0" applyFont="1" applyFill="1" applyBorder="1" applyAlignment="1">
      <alignment horizontal="center" vertical="center" wrapText="1"/>
    </xf>
    <xf numFmtId="0" fontId="67" fillId="0" borderId="33" xfId="0" applyFont="1" applyFill="1" applyBorder="1" applyAlignment="1">
      <alignment vertical="center" wrapText="1"/>
    </xf>
    <xf numFmtId="0" fontId="185" fillId="0" borderId="0" xfId="0" applyFont="1" applyBorder="1" applyAlignment="1"/>
    <xf numFmtId="0" fontId="196" fillId="0" borderId="0" xfId="0" applyFont="1"/>
    <xf numFmtId="3" fontId="36" fillId="0" borderId="0" xfId="0" applyNumberFormat="1" applyFont="1"/>
    <xf numFmtId="0" fontId="203" fillId="0" borderId="0" xfId="0" applyFont="1"/>
    <xf numFmtId="0" fontId="35" fillId="0" borderId="19" xfId="0" applyFont="1" applyBorder="1" applyAlignment="1" applyProtection="1">
      <alignment horizontal="center" vertical="center" wrapText="1"/>
    </xf>
    <xf numFmtId="193" fontId="8" fillId="0" borderId="0" xfId="0" applyNumberFormat="1" applyFont="1"/>
    <xf numFmtId="173" fontId="8" fillId="0" borderId="0" xfId="0" applyNumberFormat="1" applyFont="1" applyBorder="1"/>
    <xf numFmtId="175" fontId="0" fillId="0" borderId="0" xfId="1900" applyNumberFormat="1" applyFont="1"/>
    <xf numFmtId="0" fontId="204" fillId="0" borderId="0" xfId="1136" applyFont="1"/>
    <xf numFmtId="176" fontId="53" fillId="58" borderId="0" xfId="0" applyNumberFormat="1" applyFont="1" applyFill="1" applyBorder="1"/>
    <xf numFmtId="3" fontId="116" fillId="58" borderId="0" xfId="1232" applyNumberFormat="1" applyFont="1" applyFill="1" applyAlignment="1" applyProtection="1">
      <alignment horizontal="right" vertical="top" wrapText="1" readingOrder="1"/>
      <protection locked="0"/>
    </xf>
    <xf numFmtId="0" fontId="116" fillId="58" borderId="0" xfId="1232" applyFont="1" applyFill="1" applyAlignment="1" applyProtection="1">
      <alignment horizontal="right" vertical="top" wrapText="1" readingOrder="1"/>
      <protection locked="0"/>
    </xf>
    <xf numFmtId="3" fontId="199" fillId="58" borderId="19" xfId="1153" applyNumberFormat="1" applyFont="1" applyFill="1" applyBorder="1" applyAlignment="1">
      <alignment horizontal="center" vertical="center"/>
    </xf>
    <xf numFmtId="173" fontId="96" fillId="58" borderId="21" xfId="0" applyNumberFormat="1" applyFont="1" applyFill="1" applyBorder="1" applyAlignment="1">
      <alignment horizontal="center" vertical="center"/>
    </xf>
    <xf numFmtId="0" fontId="193" fillId="0" borderId="0" xfId="0" applyNumberFormat="1" applyFont="1" applyBorder="1"/>
    <xf numFmtId="0" fontId="185" fillId="0" borderId="0" xfId="0" applyNumberFormat="1" applyFont="1"/>
    <xf numFmtId="0" fontId="193" fillId="0" borderId="0" xfId="0" applyFont="1"/>
    <xf numFmtId="0" fontId="196" fillId="0" borderId="0" xfId="0" applyFont="1" applyBorder="1" applyAlignment="1"/>
    <xf numFmtId="0" fontId="196" fillId="0" borderId="0" xfId="0" applyFont="1" applyBorder="1"/>
    <xf numFmtId="0" fontId="196" fillId="0" borderId="0" xfId="0" applyFont="1" applyAlignment="1"/>
    <xf numFmtId="3" fontId="193" fillId="0" borderId="0" xfId="0" applyNumberFormat="1" applyFont="1" applyBorder="1"/>
    <xf numFmtId="9" fontId="33" fillId="0" borderId="0" xfId="1900" applyBorder="1" applyAlignment="1"/>
    <xf numFmtId="0" fontId="205" fillId="0" borderId="0" xfId="0" applyFont="1"/>
    <xf numFmtId="1" fontId="205" fillId="0" borderId="0" xfId="0" applyNumberFormat="1" applyFont="1" applyFill="1"/>
    <xf numFmtId="0" fontId="35" fillId="58" borderId="19" xfId="0" applyFont="1" applyFill="1" applyBorder="1" applyAlignment="1">
      <alignment horizontal="center" vertical="center" textRotation="90" wrapText="1"/>
    </xf>
    <xf numFmtId="0" fontId="8" fillId="0" borderId="19" xfId="0" applyFont="1" applyBorder="1" applyAlignment="1">
      <alignment horizontal="center" vertical="center"/>
    </xf>
    <xf numFmtId="9" fontId="33" fillId="0" borderId="0" xfId="1900" applyAlignment="1"/>
    <xf numFmtId="9" fontId="33" fillId="0" borderId="0" xfId="1900" applyBorder="1"/>
    <xf numFmtId="1" fontId="8" fillId="0" borderId="19" xfId="0" applyNumberFormat="1" applyFont="1" applyBorder="1" applyAlignment="1">
      <alignment horizontal="center" vertical="center" wrapText="1"/>
    </xf>
    <xf numFmtId="17" fontId="8" fillId="0" borderId="19" xfId="1152" applyNumberFormat="1" applyFont="1" applyFill="1" applyBorder="1" applyAlignment="1">
      <alignment horizontal="left" vertical="center" wrapText="1"/>
    </xf>
    <xf numFmtId="49" fontId="133" fillId="0" borderId="0" xfId="1226" applyNumberFormat="1" applyFont="1" applyAlignment="1">
      <alignment horizontal="center" vertical="center"/>
    </xf>
    <xf numFmtId="17" fontId="175" fillId="0" borderId="0" xfId="0" applyNumberFormat="1" applyFont="1" applyFill="1"/>
    <xf numFmtId="1" fontId="175" fillId="0" borderId="0" xfId="0" applyNumberFormat="1" applyFont="1" applyFill="1" applyAlignment="1">
      <alignment horizontal="center"/>
    </xf>
    <xf numFmtId="0" fontId="102" fillId="0" borderId="19" xfId="0" applyNumberFormat="1" applyFont="1" applyFill="1" applyBorder="1" applyAlignment="1">
      <alignment horizontal="left" vertical="center" wrapText="1"/>
    </xf>
    <xf numFmtId="0" fontId="117" fillId="0" borderId="45" xfId="0" applyFont="1" applyFill="1" applyBorder="1" applyAlignment="1">
      <alignment horizontal="left" vertical="top" wrapText="1"/>
    </xf>
    <xf numFmtId="0" fontId="191" fillId="0" borderId="19" xfId="0" applyFont="1" applyFill="1" applyBorder="1" applyAlignment="1">
      <alignment horizontal="center"/>
    </xf>
    <xf numFmtId="0" fontId="185" fillId="0" borderId="0" xfId="0" applyFont="1" applyFill="1"/>
    <xf numFmtId="0" fontId="8" fillId="0" borderId="19" xfId="0" applyFont="1" applyBorder="1" applyAlignment="1">
      <alignment horizontal="center" vertical="center"/>
    </xf>
    <xf numFmtId="0" fontId="35" fillId="0" borderId="19" xfId="0" applyFont="1" applyBorder="1" applyAlignment="1">
      <alignment vertical="center"/>
    </xf>
    <xf numFmtId="179" fontId="67" fillId="0" borderId="19" xfId="1153" applyNumberFormat="1" applyFont="1" applyFill="1" applyBorder="1" applyAlignment="1">
      <alignment horizontal="center" vertical="center" wrapText="1"/>
    </xf>
    <xf numFmtId="196" fontId="33" fillId="0" borderId="0" xfId="1153" applyNumberFormat="1"/>
    <xf numFmtId="9" fontId="33" fillId="0" borderId="0" xfId="1900" quotePrefix="1" applyFill="1" applyBorder="1" applyAlignment="1">
      <alignment vertical="center"/>
    </xf>
    <xf numFmtId="3" fontId="207" fillId="0" borderId="0" xfId="1986" applyNumberFormat="1" applyFont="1"/>
    <xf numFmtId="9" fontId="33" fillId="0" borderId="0" xfId="1900" applyAlignment="1" applyProtection="1">
      <alignment horizontal="right" vertical="top" wrapText="1" readingOrder="1"/>
      <protection locked="0"/>
    </xf>
    <xf numFmtId="175" fontId="33" fillId="0" borderId="0" xfId="1900" applyNumberFormat="1" applyBorder="1"/>
    <xf numFmtId="3" fontId="0" fillId="0" borderId="0" xfId="0" applyNumberFormat="1"/>
    <xf numFmtId="0" fontId="208" fillId="0" borderId="0" xfId="0" applyFont="1" applyAlignment="1">
      <alignment horizontal="right" vertical="center" wrapText="1"/>
    </xf>
    <xf numFmtId="173" fontId="185" fillId="0" borderId="0" xfId="0" applyNumberFormat="1" applyFont="1"/>
    <xf numFmtId="1" fontId="182" fillId="0" borderId="19" xfId="0" applyNumberFormat="1" applyFont="1" applyFill="1" applyBorder="1" applyAlignment="1">
      <alignment horizontal="center" vertical="center"/>
    </xf>
    <xf numFmtId="1" fontId="182" fillId="0" borderId="19" xfId="0" applyNumberFormat="1" applyFont="1" applyFill="1" applyBorder="1" applyAlignment="1">
      <alignment vertical="center"/>
    </xf>
    <xf numFmtId="164" fontId="8" fillId="0" borderId="0" xfId="0" applyNumberFormat="1" applyFont="1" applyFill="1" applyBorder="1" applyAlignment="1"/>
    <xf numFmtId="211" fontId="33" fillId="0" borderId="0" xfId="1153" applyNumberFormat="1" applyFill="1" applyBorder="1" applyAlignment="1"/>
    <xf numFmtId="0" fontId="35" fillId="0" borderId="0" xfId="0" applyFont="1" applyBorder="1" applyAlignment="1">
      <alignment horizontal="center"/>
    </xf>
    <xf numFmtId="0" fontId="98" fillId="0" borderId="0" xfId="0" applyFont="1" applyBorder="1" applyAlignment="1">
      <alignment horizontal="center"/>
    </xf>
    <xf numFmtId="172" fontId="35" fillId="58" borderId="0" xfId="0" applyNumberFormat="1" applyFont="1" applyFill="1" applyBorder="1" applyAlignment="1">
      <alignment horizontal="center"/>
    </xf>
    <xf numFmtId="0" fontId="35" fillId="58" borderId="19" xfId="0" applyFont="1" applyFill="1" applyBorder="1" applyAlignment="1">
      <alignment horizontal="center"/>
    </xf>
    <xf numFmtId="3" fontId="8" fillId="58" borderId="19" xfId="0" applyNumberFormat="1" applyFont="1" applyFill="1" applyBorder="1" applyAlignment="1">
      <alignment horizontal="center" vertical="center"/>
    </xf>
    <xf numFmtId="9" fontId="8" fillId="58" borderId="19" xfId="0" applyNumberFormat="1" applyFont="1" applyFill="1" applyBorder="1" applyAlignment="1">
      <alignment horizontal="center" vertical="center"/>
    </xf>
    <xf numFmtId="0" fontId="209" fillId="53" borderId="0" xfId="0" applyFont="1" applyFill="1" applyAlignment="1">
      <alignment horizontal="right" vertical="center" wrapText="1"/>
    </xf>
    <xf numFmtId="199" fontId="8" fillId="0" borderId="0" xfId="0" applyNumberFormat="1" applyFont="1"/>
    <xf numFmtId="191" fontId="8" fillId="0" borderId="0" xfId="0" applyNumberFormat="1" applyFont="1" applyBorder="1"/>
    <xf numFmtId="0" fontId="53" fillId="0" borderId="19" xfId="0" applyFont="1" applyBorder="1" applyAlignment="1">
      <alignment vertical="top" wrapText="1"/>
    </xf>
    <xf numFmtId="3" fontId="3" fillId="0" borderId="45" xfId="1987" applyNumberFormat="1" applyBorder="1"/>
    <xf numFmtId="177" fontId="147" fillId="0" borderId="0" xfId="1153" applyFont="1" applyBorder="1"/>
    <xf numFmtId="177" fontId="147" fillId="0" borderId="0" xfId="1153" applyFont="1" applyFill="1" applyBorder="1" applyAlignment="1"/>
    <xf numFmtId="0" fontId="8" fillId="0" borderId="19" xfId="0" applyFont="1" applyFill="1" applyBorder="1" applyAlignment="1">
      <alignment horizontal="center"/>
    </xf>
    <xf numFmtId="177" fontId="8" fillId="0" borderId="19" xfId="1153" applyFont="1" applyFill="1" applyBorder="1" applyAlignment="1">
      <alignment horizontal="center" vertical="center"/>
    </xf>
    <xf numFmtId="0" fontId="96" fillId="0" borderId="0" xfId="1225" applyFont="1" applyAlignment="1">
      <alignment vertical="center"/>
    </xf>
    <xf numFmtId="1" fontId="8" fillId="0" borderId="19" xfId="0" applyNumberFormat="1" applyFont="1" applyBorder="1" applyAlignment="1">
      <alignment horizontal="center"/>
    </xf>
    <xf numFmtId="3" fontId="30" fillId="0" borderId="0" xfId="0" applyNumberFormat="1" applyFont="1" applyBorder="1"/>
    <xf numFmtId="180" fontId="210" fillId="0" borderId="0" xfId="1152" applyNumberFormat="1" applyFont="1" applyFill="1" applyBorder="1" applyAlignment="1">
      <alignment horizontal="center" vertical="center" wrapText="1"/>
    </xf>
    <xf numFmtId="2" fontId="210" fillId="0" borderId="0" xfId="0" applyNumberFormat="1" applyFont="1" applyBorder="1" applyAlignment="1">
      <alignment horizontal="center" vertical="center" wrapText="1"/>
    </xf>
    <xf numFmtId="0" fontId="211" fillId="0" borderId="0" xfId="0" applyFont="1" applyBorder="1"/>
    <xf numFmtId="3" fontId="211" fillId="0" borderId="0" xfId="0" applyNumberFormat="1" applyFont="1" applyBorder="1"/>
    <xf numFmtId="212" fontId="211" fillId="0" borderId="0" xfId="1152" applyNumberFormat="1" applyFont="1" applyBorder="1" applyAlignment="1">
      <alignment horizontal="center"/>
    </xf>
    <xf numFmtId="0" fontId="211" fillId="0" borderId="0" xfId="0" applyFont="1" applyBorder="1" applyAlignment="1">
      <alignment horizontal="center"/>
    </xf>
    <xf numFmtId="0" fontId="35" fillId="0" borderId="0" xfId="0" applyFont="1" applyBorder="1" applyAlignment="1">
      <alignment horizontal="center" vertical="center"/>
    </xf>
    <xf numFmtId="0" fontId="8" fillId="0" borderId="19" xfId="0" applyFont="1" applyFill="1" applyBorder="1" applyAlignment="1">
      <alignment horizontal="center"/>
    </xf>
    <xf numFmtId="0" fontId="67" fillId="0" borderId="19" xfId="0" applyFont="1" applyBorder="1" applyAlignment="1">
      <alignment horizontal="center"/>
    </xf>
    <xf numFmtId="0" fontId="20" fillId="0" borderId="19" xfId="0" applyFont="1" applyBorder="1"/>
    <xf numFmtId="3" fontId="3" fillId="0" borderId="0" xfId="1987" applyNumberFormat="1" applyBorder="1"/>
    <xf numFmtId="0" fontId="212" fillId="0" borderId="0" xfId="0" applyFont="1" applyFill="1"/>
    <xf numFmtId="0" fontId="212" fillId="0" borderId="0" xfId="0" applyFont="1" applyFill="1" applyAlignment="1"/>
    <xf numFmtId="4" fontId="212" fillId="0" borderId="0" xfId="0" applyNumberFormat="1" applyFont="1" applyFill="1"/>
    <xf numFmtId="3" fontId="212" fillId="0" borderId="0" xfId="0" applyNumberFormat="1" applyFont="1" applyFill="1" applyAlignment="1"/>
    <xf numFmtId="0" fontId="213" fillId="0" borderId="0" xfId="0" applyFont="1" applyFill="1" applyAlignment="1"/>
    <xf numFmtId="0" fontId="213" fillId="0" borderId="0" xfId="0" applyFont="1" applyFill="1"/>
    <xf numFmtId="3" fontId="213" fillId="0" borderId="0" xfId="0" applyNumberFormat="1" applyFont="1" applyFill="1" applyAlignment="1"/>
    <xf numFmtId="0" fontId="214" fillId="0" borderId="0" xfId="0" applyFont="1" applyFill="1"/>
    <xf numFmtId="0" fontId="214" fillId="0" borderId="0" xfId="0" applyFont="1" applyFill="1" applyAlignment="1"/>
    <xf numFmtId="1" fontId="85" fillId="0" borderId="0" xfId="1243" applyNumberFormat="1" applyFont="1" applyBorder="1" applyAlignment="1">
      <alignment horizontal="center"/>
    </xf>
    <xf numFmtId="0" fontId="180" fillId="0" borderId="0" xfId="0" applyFont="1" applyAlignment="1"/>
    <xf numFmtId="4" fontId="180" fillId="0" borderId="0" xfId="0" applyNumberFormat="1" applyFont="1"/>
    <xf numFmtId="198" fontId="180" fillId="0" borderId="0" xfId="0" applyNumberFormat="1" applyFont="1" applyAlignment="1"/>
    <xf numFmtId="0" fontId="180" fillId="0" borderId="0" xfId="0" applyFont="1" applyBorder="1" applyAlignment="1"/>
    <xf numFmtId="0" fontId="180" fillId="0" borderId="0" xfId="0" applyFont="1" applyBorder="1"/>
    <xf numFmtId="0" fontId="175" fillId="0" borderId="0" xfId="0" applyFont="1" applyAlignment="1"/>
    <xf numFmtId="0" fontId="175" fillId="0" borderId="0" xfId="0" applyFont="1" applyBorder="1" applyAlignment="1">
      <alignment horizontal="left"/>
    </xf>
    <xf numFmtId="0" fontId="175" fillId="0" borderId="0" xfId="0" applyFont="1" applyBorder="1" applyAlignment="1"/>
    <xf numFmtId="0" fontId="215" fillId="0" borderId="0" xfId="0" applyNumberFormat="1" applyFont="1" applyBorder="1"/>
    <xf numFmtId="180" fontId="175" fillId="0" borderId="0" xfId="0" applyNumberFormat="1" applyFont="1" applyFill="1" applyBorder="1"/>
    <xf numFmtId="0" fontId="177" fillId="0" borderId="0" xfId="0" applyFont="1" applyAlignment="1"/>
    <xf numFmtId="0" fontId="175" fillId="0" borderId="0" xfId="0" applyFont="1" applyBorder="1" applyAlignment="1">
      <alignment wrapText="1"/>
    </xf>
    <xf numFmtId="1" fontId="216" fillId="0" borderId="0" xfId="1153" applyNumberFormat="1" applyFont="1" applyFill="1" applyBorder="1" applyAlignment="1">
      <alignment horizontal="center"/>
    </xf>
    <xf numFmtId="1" fontId="175" fillId="0" borderId="0" xfId="0" applyNumberFormat="1" applyFont="1" applyBorder="1"/>
    <xf numFmtId="1" fontId="177" fillId="0" borderId="0" xfId="0" applyNumberFormat="1" applyFont="1" applyBorder="1"/>
    <xf numFmtId="0" fontId="194" fillId="0" borderId="0" xfId="0" applyFont="1" applyAlignment="1">
      <alignment horizontal="right" vertical="center" wrapText="1"/>
    </xf>
    <xf numFmtId="173" fontId="175" fillId="0" borderId="0" xfId="0" applyNumberFormat="1" applyFont="1"/>
    <xf numFmtId="9" fontId="215" fillId="0" borderId="0" xfId="1900" applyFont="1"/>
    <xf numFmtId="9" fontId="215" fillId="0" borderId="0" xfId="1900" applyFont="1" applyAlignment="1"/>
    <xf numFmtId="3" fontId="175" fillId="0" borderId="0" xfId="0" applyNumberFormat="1" applyFont="1" applyAlignment="1"/>
    <xf numFmtId="1" fontId="152" fillId="0" borderId="0" xfId="1243" applyNumberFormat="1" applyFont="1" applyBorder="1" applyAlignment="1">
      <alignment horizontal="center"/>
    </xf>
    <xf numFmtId="171" fontId="211" fillId="0" borderId="0" xfId="0" applyNumberFormat="1" applyFont="1" applyBorder="1" applyAlignment="1">
      <alignment horizontal="center"/>
    </xf>
    <xf numFmtId="0" fontId="211" fillId="0" borderId="0" xfId="0" applyFont="1" applyAlignment="1">
      <alignment wrapText="1"/>
    </xf>
    <xf numFmtId="0" fontId="210" fillId="0" borderId="0" xfId="0" applyFont="1" applyBorder="1" applyAlignment="1">
      <alignment wrapText="1"/>
    </xf>
    <xf numFmtId="171" fontId="210" fillId="0" borderId="0" xfId="1152" applyNumberFormat="1" applyFont="1" applyFill="1" applyBorder="1" applyAlignment="1">
      <alignment horizontal="center" vertical="center" wrapText="1"/>
    </xf>
    <xf numFmtId="17" fontId="211" fillId="0" borderId="0" xfId="0" applyNumberFormat="1" applyFont="1"/>
    <xf numFmtId="0" fontId="211" fillId="0" borderId="0" xfId="0" applyFont="1"/>
    <xf numFmtId="3" fontId="211" fillId="0" borderId="0" xfId="0" applyNumberFormat="1" applyFont="1"/>
    <xf numFmtId="173" fontId="211" fillId="0" borderId="0" xfId="1152" applyNumberFormat="1" applyFont="1" applyBorder="1" applyAlignment="1">
      <alignment horizontal="center"/>
    </xf>
    <xf numFmtId="173" fontId="211" fillId="0" borderId="0" xfId="0" applyNumberFormat="1" applyFont="1" applyBorder="1" applyAlignment="1">
      <alignment horizontal="center"/>
    </xf>
    <xf numFmtId="1" fontId="211" fillId="0" borderId="0" xfId="0" applyNumberFormat="1" applyFont="1"/>
    <xf numFmtId="3" fontId="88" fillId="0" borderId="19" xfId="0" applyNumberFormat="1" applyFont="1" applyFill="1" applyBorder="1" applyAlignment="1">
      <alignment horizontal="left" wrapText="1"/>
    </xf>
    <xf numFmtId="3" fontId="88" fillId="0" borderId="19" xfId="0" applyNumberFormat="1" applyFont="1" applyFill="1" applyBorder="1" applyAlignment="1">
      <alignment horizontal="left"/>
    </xf>
    <xf numFmtId="173" fontId="53" fillId="58" borderId="19" xfId="0" applyNumberFormat="1" applyFont="1" applyFill="1" applyBorder="1" applyAlignment="1">
      <alignment horizontal="left" wrapText="1"/>
    </xf>
    <xf numFmtId="173" fontId="53" fillId="58" borderId="19" xfId="0" applyNumberFormat="1" applyFont="1" applyFill="1" applyBorder="1" applyAlignment="1">
      <alignment horizontal="left"/>
    </xf>
    <xf numFmtId="14" fontId="175" fillId="0" borderId="0" xfId="0" applyNumberFormat="1" applyFont="1"/>
    <xf numFmtId="0" fontId="205" fillId="0" borderId="0" xfId="0" applyFont="1" applyFill="1" applyBorder="1"/>
    <xf numFmtId="17" fontId="205" fillId="0" borderId="0" xfId="0" applyNumberFormat="1" applyFont="1" applyFill="1" applyBorder="1"/>
    <xf numFmtId="17" fontId="205" fillId="0" borderId="0" xfId="0" applyNumberFormat="1" applyFont="1" applyFill="1"/>
    <xf numFmtId="17" fontId="205" fillId="0" borderId="0" xfId="0" applyNumberFormat="1" applyFont="1"/>
    <xf numFmtId="14" fontId="205" fillId="0" borderId="0" xfId="0" applyNumberFormat="1" applyFont="1" applyFill="1" applyBorder="1"/>
    <xf numFmtId="1" fontId="205" fillId="0" borderId="0" xfId="0" applyNumberFormat="1" applyFont="1" applyFill="1" applyBorder="1"/>
    <xf numFmtId="0" fontId="205" fillId="0" borderId="0" xfId="0" applyFont="1" applyFill="1"/>
    <xf numFmtId="14" fontId="205" fillId="0" borderId="0" xfId="0" applyNumberFormat="1" applyFont="1"/>
    <xf numFmtId="1" fontId="205" fillId="0" borderId="0" xfId="0" applyNumberFormat="1" applyFont="1"/>
    <xf numFmtId="208" fontId="175" fillId="0" borderId="0" xfId="0" applyNumberFormat="1" applyFont="1" applyFill="1" applyBorder="1" applyAlignment="1"/>
    <xf numFmtId="177" fontId="175" fillId="0" borderId="0" xfId="1153" applyFont="1" applyFill="1" applyBorder="1"/>
    <xf numFmtId="1" fontId="177" fillId="0" borderId="0" xfId="0" applyNumberFormat="1" applyFont="1" applyFill="1"/>
    <xf numFmtId="0" fontId="177" fillId="0" borderId="0" xfId="0" applyFont="1" applyFill="1"/>
    <xf numFmtId="177" fontId="175" fillId="0" borderId="0" xfId="1153" applyFont="1" applyFill="1"/>
    <xf numFmtId="0" fontId="175" fillId="0" borderId="0" xfId="1153" applyNumberFormat="1" applyFont="1" applyFill="1"/>
    <xf numFmtId="3" fontId="175" fillId="0" borderId="0" xfId="1153" applyNumberFormat="1" applyFont="1" applyFill="1"/>
    <xf numFmtId="208" fontId="177" fillId="0" borderId="0" xfId="0" applyNumberFormat="1" applyFont="1" applyFill="1"/>
    <xf numFmtId="0" fontId="8" fillId="0" borderId="19" xfId="0" applyFont="1" applyFill="1" applyBorder="1"/>
    <xf numFmtId="175" fontId="175" fillId="0" borderId="0" xfId="0" applyNumberFormat="1" applyFont="1" applyFill="1" applyAlignment="1"/>
    <xf numFmtId="175" fontId="175" fillId="0" borderId="0" xfId="0" applyNumberFormat="1" applyFont="1" applyFill="1"/>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0" fontId="0" fillId="0" borderId="0" xfId="0" applyAlignment="1">
      <alignment horizontal="center"/>
    </xf>
    <xf numFmtId="0" fontId="0" fillId="0" borderId="19" xfId="0" applyBorder="1"/>
    <xf numFmtId="3" fontId="35" fillId="0" borderId="19" xfId="0" applyNumberFormat="1" applyFont="1" applyFill="1" applyBorder="1" applyAlignment="1">
      <alignment horizontal="center" vertical="center" wrapText="1"/>
    </xf>
    <xf numFmtId="201" fontId="8" fillId="0" borderId="19" xfId="1153" applyNumberFormat="1" applyFont="1" applyFill="1" applyBorder="1" applyAlignment="1">
      <alignment horizontal="center" vertical="center"/>
    </xf>
    <xf numFmtId="0" fontId="217" fillId="0" borderId="0" xfId="0" applyFont="1" applyAlignment="1">
      <alignment horizontal="center" vertical="center" readingOrder="1"/>
    </xf>
    <xf numFmtId="0" fontId="178" fillId="0" borderId="19" xfId="0" applyFont="1" applyBorder="1" applyAlignment="1">
      <alignment horizontal="center" vertical="center"/>
    </xf>
    <xf numFmtId="0" fontId="185" fillId="0" borderId="0" xfId="0" applyFont="1" applyFill="1" applyBorder="1" applyAlignment="1"/>
    <xf numFmtId="1" fontId="196" fillId="0" borderId="0" xfId="0" applyNumberFormat="1" applyFont="1" applyFill="1"/>
    <xf numFmtId="0" fontId="196" fillId="0" borderId="0" xfId="0" applyFont="1" applyFill="1"/>
    <xf numFmtId="0" fontId="185" fillId="0" borderId="0" xfId="0" applyFont="1" applyFill="1" applyAlignment="1"/>
    <xf numFmtId="0" fontId="175" fillId="0" borderId="0" xfId="0" applyFont="1" applyFill="1" applyBorder="1" applyAlignment="1"/>
    <xf numFmtId="0" fontId="30" fillId="0" borderId="0" xfId="1232" applyFont="1" applyFill="1" applyBorder="1" applyAlignment="1">
      <alignment horizontal="left"/>
    </xf>
    <xf numFmtId="3" fontId="32" fillId="0" borderId="43" xfId="0" applyNumberFormat="1" applyFont="1" applyBorder="1" applyAlignment="1">
      <alignment horizontal="center"/>
    </xf>
    <xf numFmtId="3" fontId="32" fillId="0" borderId="33" xfId="0" applyNumberFormat="1" applyFont="1" applyBorder="1" applyAlignment="1">
      <alignment horizontal="center"/>
    </xf>
    <xf numFmtId="3" fontId="32" fillId="0" borderId="21" xfId="0" applyNumberFormat="1" applyFont="1" applyBorder="1" applyAlignment="1">
      <alignment horizontal="center"/>
    </xf>
    <xf numFmtId="3" fontId="32" fillId="0" borderId="39" xfId="0" applyNumberFormat="1" applyFont="1" applyBorder="1" applyAlignment="1">
      <alignment horizontal="center" vertical="center"/>
    </xf>
    <xf numFmtId="3" fontId="32" fillId="0" borderId="21" xfId="0" applyNumberFormat="1" applyFont="1" applyBorder="1" applyAlignment="1">
      <alignment horizontal="center" vertical="center"/>
    </xf>
    <xf numFmtId="3" fontId="32" fillId="0" borderId="45" xfId="0" applyNumberFormat="1" applyFont="1" applyBorder="1" applyAlignment="1">
      <alignment horizontal="center" vertical="center"/>
    </xf>
    <xf numFmtId="3" fontId="32" fillId="0" borderId="43" xfId="0" applyNumberFormat="1" applyFont="1" applyBorder="1" applyAlignment="1">
      <alignment horizontal="center" vertical="center"/>
    </xf>
    <xf numFmtId="3" fontId="32" fillId="0" borderId="33" xfId="0" applyNumberFormat="1" applyFont="1" applyBorder="1" applyAlignment="1">
      <alignment horizontal="center" vertical="center"/>
    </xf>
    <xf numFmtId="185" fontId="211" fillId="0" borderId="0" xfId="1152" applyNumberFormat="1" applyFont="1" applyBorder="1" applyAlignment="1">
      <alignment horizontal="center"/>
    </xf>
    <xf numFmtId="2" fontId="211" fillId="0" borderId="0" xfId="1152" applyNumberFormat="1" applyFont="1" applyBorder="1" applyAlignment="1">
      <alignment horizontal="center"/>
    </xf>
    <xf numFmtId="0" fontId="61" fillId="0" borderId="0" xfId="0" applyFont="1" applyAlignment="1" applyProtection="1">
      <alignment horizontal="right" vertical="top" wrapText="1" readingOrder="1"/>
      <protection locked="0"/>
    </xf>
    <xf numFmtId="0" fontId="218" fillId="0" borderId="0" xfId="0" applyFont="1" applyBorder="1"/>
    <xf numFmtId="0" fontId="218" fillId="0" borderId="0" xfId="0" applyFont="1" applyFill="1" applyBorder="1"/>
    <xf numFmtId="0" fontId="218" fillId="0" borderId="0" xfId="0" applyFont="1"/>
    <xf numFmtId="15" fontId="218" fillId="0" borderId="0" xfId="0" applyNumberFormat="1" applyFont="1" applyBorder="1"/>
    <xf numFmtId="14" fontId="218" fillId="0" borderId="0" xfId="0" applyNumberFormat="1" applyFont="1" applyFill="1" applyBorder="1"/>
    <xf numFmtId="14" fontId="218" fillId="0" borderId="0" xfId="0" applyNumberFormat="1" applyFont="1" applyBorder="1"/>
    <xf numFmtId="14" fontId="218" fillId="0" borderId="0" xfId="0" applyNumberFormat="1" applyFont="1"/>
    <xf numFmtId="0" fontId="218" fillId="0" borderId="0" xfId="0" applyFont="1" applyFill="1" applyAlignment="1">
      <alignment horizontal="right"/>
    </xf>
    <xf numFmtId="4" fontId="8" fillId="58" borderId="19" xfId="0" applyNumberFormat="1" applyFont="1" applyFill="1" applyBorder="1" applyAlignment="1">
      <alignment horizontal="center" wrapText="1"/>
    </xf>
    <xf numFmtId="3" fontId="35" fillId="0" borderId="0" xfId="0" applyNumberFormat="1" applyFont="1" applyFill="1"/>
    <xf numFmtId="175" fontId="33" fillId="0" borderId="0" xfId="1900" applyNumberFormat="1" applyFill="1" applyAlignment="1"/>
    <xf numFmtId="0" fontId="185" fillId="0" borderId="0" xfId="0" applyFont="1" applyBorder="1"/>
    <xf numFmtId="0" fontId="208" fillId="0" borderId="0" xfId="0" applyFont="1" applyBorder="1" applyAlignment="1">
      <alignment horizontal="right" vertical="center" wrapText="1"/>
    </xf>
    <xf numFmtId="0" fontId="185" fillId="0" borderId="0" xfId="0" applyFont="1" applyAlignment="1">
      <alignment wrapText="1"/>
    </xf>
    <xf numFmtId="0" fontId="185" fillId="0" borderId="0" xfId="0" applyFont="1" applyFill="1" applyBorder="1"/>
    <xf numFmtId="173" fontId="185" fillId="0" borderId="0" xfId="0" applyNumberFormat="1" applyFont="1" applyBorder="1"/>
    <xf numFmtId="4" fontId="196" fillId="0" borderId="0" xfId="0" applyNumberFormat="1" applyFont="1" applyFill="1" applyBorder="1"/>
    <xf numFmtId="9" fontId="219" fillId="0" borderId="0" xfId="1900" applyFont="1"/>
    <xf numFmtId="177" fontId="219" fillId="0" borderId="0" xfId="1153" applyFont="1"/>
    <xf numFmtId="0" fontId="220" fillId="0" borderId="0" xfId="0" applyFont="1"/>
    <xf numFmtId="3" fontId="8" fillId="0" borderId="19" xfId="0" applyNumberFormat="1" applyFont="1" applyFill="1" applyBorder="1" applyAlignment="1">
      <alignment horizontal="center" vertical="center" wrapText="1"/>
    </xf>
    <xf numFmtId="0" fontId="67" fillId="0" borderId="0" xfId="1226" applyFont="1" applyAlignment="1">
      <alignment horizontal="center"/>
    </xf>
    <xf numFmtId="0" fontId="99" fillId="0" borderId="0" xfId="1226" applyFont="1" applyAlignment="1">
      <alignment horizontal="center"/>
    </xf>
    <xf numFmtId="17" fontId="53" fillId="0" borderId="0" xfId="1226" applyNumberFormat="1" applyFont="1" applyFill="1" applyAlignment="1">
      <alignment horizontal="center" wrapText="1"/>
    </xf>
    <xf numFmtId="17" fontId="96" fillId="0" borderId="0" xfId="1226" applyNumberFormat="1" applyFont="1" applyFill="1" applyAlignment="1">
      <alignment horizontal="center"/>
    </xf>
    <xf numFmtId="0" fontId="53" fillId="0" borderId="0" xfId="1226" applyFont="1" applyAlignment="1">
      <alignment horizontal="center"/>
    </xf>
    <xf numFmtId="0" fontId="96" fillId="0" borderId="0" xfId="1226" applyFont="1" applyAlignment="1">
      <alignment horizontal="center"/>
    </xf>
    <xf numFmtId="0" fontId="100" fillId="53" borderId="0" xfId="1226" applyFont="1" applyFill="1" applyAlignment="1">
      <alignment horizontal="center"/>
    </xf>
    <xf numFmtId="0" fontId="140" fillId="0" borderId="0" xfId="1226" applyFont="1" applyAlignment="1">
      <alignment horizontal="center" wrapText="1"/>
    </xf>
    <xf numFmtId="0" fontId="37" fillId="0" borderId="0" xfId="1226" applyFont="1" applyAlignment="1">
      <alignment horizontal="left" wrapText="1"/>
    </xf>
    <xf numFmtId="0" fontId="141" fillId="0" borderId="0" xfId="1226" applyFont="1" applyFill="1" applyAlignment="1">
      <alignment horizontal="center"/>
    </xf>
    <xf numFmtId="0" fontId="99" fillId="0" borderId="0" xfId="1226" applyFont="1" applyAlignment="1">
      <alignment horizontal="center" wrapText="1"/>
    </xf>
    <xf numFmtId="49" fontId="133" fillId="0" borderId="0" xfId="1226" applyNumberFormat="1" applyFont="1" applyAlignment="1">
      <alignment horizontal="center" vertical="center"/>
    </xf>
    <xf numFmtId="0" fontId="98" fillId="0" borderId="0" xfId="0" applyFont="1" applyAlignment="1">
      <alignment horizontal="center"/>
    </xf>
    <xf numFmtId="0" fontId="80" fillId="0" borderId="0" xfId="0" applyFont="1" applyAlignment="1">
      <alignment horizontal="center"/>
    </xf>
    <xf numFmtId="49" fontId="85" fillId="0" borderId="0" xfId="0" applyNumberFormat="1" applyFont="1" applyFill="1" applyAlignment="1">
      <alignment horizontal="justify" vertical="top" wrapText="1"/>
    </xf>
    <xf numFmtId="0" fontId="96" fillId="0" borderId="0" xfId="1224" applyFont="1" applyFill="1" applyAlignment="1">
      <alignment horizontal="left" vertical="center" wrapText="1"/>
    </xf>
    <xf numFmtId="0" fontId="100" fillId="0" borderId="0" xfId="1224" applyFont="1" applyAlignment="1">
      <alignment horizontal="left" vertical="top"/>
    </xf>
    <xf numFmtId="0" fontId="8" fillId="0" borderId="0" xfId="1224" applyFont="1" applyAlignment="1">
      <alignment horizontal="left" vertical="center" wrapText="1"/>
    </xf>
    <xf numFmtId="0" fontId="100" fillId="0" borderId="0" xfId="1224" applyFont="1" applyAlignment="1">
      <alignment horizontal="left" vertical="center"/>
    </xf>
    <xf numFmtId="0" fontId="96" fillId="0" borderId="0" xfId="1224" applyFont="1" applyAlignment="1">
      <alignment horizontal="left" vertical="top" wrapText="1"/>
    </xf>
    <xf numFmtId="0" fontId="96" fillId="0" borderId="0" xfId="1224" applyFont="1" applyAlignment="1">
      <alignment vertical="center"/>
    </xf>
    <xf numFmtId="0" fontId="100" fillId="0" borderId="0" xfId="1224" applyFont="1" applyAlignment="1">
      <alignment horizontal="left" vertical="center" wrapText="1"/>
    </xf>
    <xf numFmtId="0" fontId="53" fillId="0" borderId="0" xfId="1224" applyFont="1" applyFill="1" applyAlignment="1">
      <alignment horizontal="left" vertical="center" wrapText="1"/>
    </xf>
    <xf numFmtId="0" fontId="96" fillId="0" borderId="0" xfId="1224" applyFont="1" applyAlignment="1">
      <alignment horizontal="left" vertical="center" wrapText="1"/>
    </xf>
    <xf numFmtId="0" fontId="100" fillId="0" borderId="0" xfId="1224" applyFont="1" applyAlignment="1">
      <alignment horizontal="left" vertical="top" wrapText="1"/>
    </xf>
    <xf numFmtId="0" fontId="98" fillId="0" borderId="0" xfId="1884" applyFont="1" applyBorder="1" applyAlignment="1" applyProtection="1">
      <alignment horizontal="center" vertical="center"/>
    </xf>
    <xf numFmtId="0" fontId="100" fillId="0" borderId="0" xfId="1224" applyFont="1" applyFill="1" applyAlignment="1">
      <alignment horizontal="left" vertical="center" wrapText="1"/>
    </xf>
    <xf numFmtId="0" fontId="53" fillId="0" borderId="0" xfId="1224" applyFont="1" applyAlignment="1">
      <alignment vertical="center" wrapText="1"/>
    </xf>
    <xf numFmtId="0" fontId="96" fillId="0" borderId="0" xfId="1224" applyFont="1" applyAlignment="1">
      <alignment vertical="center" wrapText="1"/>
    </xf>
    <xf numFmtId="0" fontId="61" fillId="0" borderId="0" xfId="1265" applyFont="1" applyAlignment="1" applyProtection="1">
      <alignment horizontal="right" wrapText="1" readingOrder="1"/>
      <protection locked="0"/>
    </xf>
    <xf numFmtId="0" fontId="60" fillId="0" borderId="0" xfId="1265" applyAlignment="1">
      <alignment wrapText="1"/>
    </xf>
    <xf numFmtId="0" fontId="30" fillId="0" borderId="0" xfId="0" applyFont="1" applyAlignment="1">
      <alignment horizontal="center" wrapText="1"/>
    </xf>
    <xf numFmtId="0" fontId="30" fillId="0" borderId="0" xfId="0" applyFont="1" applyAlignment="1">
      <alignment horizontal="left" vertical="top" wrapText="1"/>
    </xf>
    <xf numFmtId="0" fontId="35" fillId="0" borderId="0" xfId="0" applyFont="1" applyFill="1" applyBorder="1" applyAlignment="1">
      <alignment horizontal="center"/>
    </xf>
    <xf numFmtId="0" fontId="67" fillId="0" borderId="0" xfId="0" applyFont="1" applyBorder="1" applyAlignment="1">
      <alignment horizontal="center" wrapText="1"/>
    </xf>
    <xf numFmtId="0" fontId="115" fillId="0" borderId="0" xfId="0" applyFont="1" applyBorder="1" applyAlignment="1">
      <alignment horizontal="center" wrapText="1"/>
    </xf>
    <xf numFmtId="0" fontId="35" fillId="0" borderId="42" xfId="0" applyFont="1" applyBorder="1" applyAlignment="1">
      <alignment horizontal="center"/>
    </xf>
    <xf numFmtId="0" fontId="30" fillId="0" borderId="0" xfId="0" applyFont="1" applyBorder="1" applyAlignment="1">
      <alignment wrapText="1"/>
    </xf>
    <xf numFmtId="0" fontId="30" fillId="0" borderId="19" xfId="0" applyFont="1" applyBorder="1" applyAlignment="1">
      <alignment wrapText="1"/>
    </xf>
    <xf numFmtId="0" fontId="35" fillId="0" borderId="0" xfId="0" applyFont="1" applyBorder="1" applyAlignment="1">
      <alignment horizontal="center"/>
    </xf>
    <xf numFmtId="0" fontId="35" fillId="0" borderId="42" xfId="0" applyFont="1" applyFill="1" applyBorder="1" applyAlignment="1">
      <alignment horizontal="center"/>
    </xf>
    <xf numFmtId="0" fontId="53" fillId="58" borderId="19" xfId="0" applyFont="1" applyFill="1" applyBorder="1" applyAlignment="1">
      <alignment horizontal="left" vertical="center" wrapText="1"/>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30" fillId="0" borderId="19" xfId="0" applyFont="1" applyBorder="1" applyAlignment="1" applyProtection="1">
      <alignment horizontal="left" vertical="center" wrapText="1"/>
    </xf>
    <xf numFmtId="0" fontId="35" fillId="0" borderId="19" xfId="0" applyFont="1" applyBorder="1" applyAlignment="1">
      <alignment horizontal="center" vertical="center"/>
    </xf>
    <xf numFmtId="0" fontId="30" fillId="0" borderId="37" xfId="1882" applyFont="1" applyBorder="1" applyAlignment="1" applyProtection="1">
      <alignment horizontal="left" vertical="center" wrapText="1"/>
    </xf>
    <xf numFmtId="0" fontId="30" fillId="0" borderId="20" xfId="1882" applyFont="1" applyBorder="1" applyAlignment="1" applyProtection="1">
      <alignment horizontal="left" vertical="center" wrapText="1"/>
    </xf>
    <xf numFmtId="0" fontId="30" fillId="0" borderId="41" xfId="1882" applyFont="1" applyBorder="1" applyAlignment="1" applyProtection="1">
      <alignment horizontal="left" vertical="center" wrapText="1"/>
    </xf>
    <xf numFmtId="0" fontId="35" fillId="0" borderId="0" xfId="1882" applyFont="1" applyBorder="1" applyAlignment="1">
      <alignment horizontal="center" vertical="center" wrapText="1"/>
    </xf>
    <xf numFmtId="0" fontId="35" fillId="0" borderId="0" xfId="1882"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lignment horizontal="center" vertical="center"/>
    </xf>
    <xf numFmtId="0" fontId="8" fillId="0" borderId="19" xfId="0" applyFont="1" applyBorder="1" applyAlignment="1">
      <alignment horizontal="center" vertical="center"/>
    </xf>
    <xf numFmtId="0" fontId="8" fillId="0" borderId="43" xfId="1882" applyFont="1" applyFill="1" applyBorder="1" applyAlignment="1">
      <alignment horizontal="center" vertical="center"/>
    </xf>
    <xf numFmtId="0" fontId="8" fillId="0" borderId="33" xfId="1882" applyFont="1" applyFill="1" applyBorder="1" applyAlignment="1">
      <alignment horizontal="center" vertical="center"/>
    </xf>
    <xf numFmtId="0" fontId="30" fillId="0" borderId="20" xfId="1882" applyFont="1" applyBorder="1" applyAlignment="1" applyProtection="1">
      <alignment horizontal="left" vertical="center"/>
    </xf>
    <xf numFmtId="0" fontId="30" fillId="0" borderId="41" xfId="1882" applyFont="1" applyBorder="1" applyAlignment="1" applyProtection="1">
      <alignment horizontal="left" vertical="center"/>
    </xf>
    <xf numFmtId="0" fontId="8" fillId="0" borderId="3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37" xfId="0" applyFont="1" applyFill="1" applyBorder="1" applyAlignment="1">
      <alignment horizontal="left" vertical="center"/>
    </xf>
    <xf numFmtId="0" fontId="8" fillId="0" borderId="19" xfId="0" applyFont="1" applyFill="1" applyBorder="1" applyAlignment="1">
      <alignment horizontal="left" vertical="center"/>
    </xf>
    <xf numFmtId="0" fontId="106" fillId="0" borderId="19" xfId="0" applyFont="1" applyBorder="1" applyAlignment="1">
      <alignment horizontal="left"/>
    </xf>
    <xf numFmtId="0" fontId="8" fillId="0" borderId="41" xfId="0" applyFont="1" applyFill="1" applyBorder="1" applyAlignment="1">
      <alignment horizontal="left" vertical="center" wrapText="1"/>
    </xf>
    <xf numFmtId="0" fontId="30" fillId="0" borderId="33" xfId="0" applyFont="1" applyFill="1" applyBorder="1" applyAlignment="1">
      <alignment horizontal="left" wrapText="1"/>
    </xf>
    <xf numFmtId="0" fontId="66" fillId="0" borderId="37" xfId="0" applyFont="1" applyBorder="1" applyAlignment="1">
      <alignment horizontal="left"/>
    </xf>
    <xf numFmtId="0" fontId="106" fillId="0" borderId="20" xfId="0" applyFont="1" applyBorder="1" applyAlignment="1">
      <alignment horizontal="left"/>
    </xf>
    <xf numFmtId="0" fontId="106" fillId="0" borderId="41" xfId="0" applyFont="1" applyBorder="1" applyAlignment="1">
      <alignment horizontal="left"/>
    </xf>
    <xf numFmtId="0" fontId="8" fillId="0" borderId="37" xfId="0" applyFont="1" applyFill="1" applyBorder="1" applyAlignment="1">
      <alignment horizontal="left"/>
    </xf>
    <xf numFmtId="0" fontId="8" fillId="0" borderId="19" xfId="0" applyFont="1" applyFill="1" applyBorder="1" applyAlignment="1">
      <alignment horizontal="left"/>
    </xf>
    <xf numFmtId="0" fontId="106" fillId="0" borderId="21" xfId="0" applyFont="1" applyBorder="1" applyAlignment="1">
      <alignment horizontal="left"/>
    </xf>
    <xf numFmtId="0" fontId="8" fillId="0" borderId="19" xfId="0" applyFont="1" applyFill="1" applyBorder="1" applyAlignment="1">
      <alignment horizontal="center"/>
    </xf>
    <xf numFmtId="0" fontId="30" fillId="0" borderId="19" xfId="0" applyFont="1" applyBorder="1" applyAlignment="1">
      <alignment horizontal="left" vertical="center" wrapText="1"/>
    </xf>
    <xf numFmtId="0" fontId="8" fillId="0" borderId="37" xfId="0" applyFont="1" applyFill="1" applyBorder="1" applyAlignment="1">
      <alignment horizontal="center"/>
    </xf>
    <xf numFmtId="0" fontId="8" fillId="0" borderId="20" xfId="0" applyFont="1" applyFill="1" applyBorder="1" applyAlignment="1">
      <alignment horizontal="center"/>
    </xf>
    <xf numFmtId="0" fontId="8" fillId="0" borderId="41" xfId="0" applyFont="1" applyFill="1" applyBorder="1" applyAlignment="1">
      <alignment horizontal="center"/>
    </xf>
    <xf numFmtId="0" fontId="3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5" fillId="0" borderId="0" xfId="0" applyFont="1" applyBorder="1" applyAlignment="1">
      <alignment horizontal="center" vertical="center"/>
    </xf>
    <xf numFmtId="0" fontId="88" fillId="0" borderId="19"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35" fillId="0" borderId="0" xfId="0" applyFont="1" applyBorder="1" applyAlignment="1" applyProtection="1">
      <alignment horizontal="center" vertical="center"/>
    </xf>
    <xf numFmtId="0" fontId="115" fillId="0" borderId="19" xfId="0" applyFont="1" applyBorder="1" applyAlignment="1" applyProtection="1">
      <alignment horizontal="center" vertical="center" wrapText="1"/>
    </xf>
    <xf numFmtId="0" fontId="35" fillId="0" borderId="41"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5" fillId="0" borderId="37" xfId="0" applyFont="1" applyBorder="1" applyAlignment="1" applyProtection="1">
      <alignment horizontal="center" vertical="center" wrapText="1"/>
    </xf>
    <xf numFmtId="0" fontId="35" fillId="0" borderId="0" xfId="0" applyFont="1" applyFill="1" applyBorder="1" applyAlignment="1" applyProtection="1">
      <alignment horizontal="center"/>
    </xf>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0" fillId="0" borderId="37" xfId="0" applyFont="1" applyBorder="1" applyAlignment="1" applyProtection="1">
      <alignment horizontal="left" vertical="center" wrapText="1"/>
    </xf>
    <xf numFmtId="0" fontId="30" fillId="0" borderId="20" xfId="0" applyFont="1" applyBorder="1" applyAlignment="1" applyProtection="1">
      <alignment horizontal="left" vertical="center" wrapText="1"/>
    </xf>
    <xf numFmtId="0" fontId="30" fillId="0" borderId="41" xfId="0" applyFont="1" applyBorder="1" applyAlignment="1" applyProtection="1">
      <alignment horizontal="left" vertical="center" wrapText="1"/>
    </xf>
    <xf numFmtId="0" fontId="115" fillId="0" borderId="42" xfId="0" applyFont="1" applyFill="1" applyBorder="1" applyAlignment="1" applyProtection="1">
      <alignment horizontal="center"/>
    </xf>
    <xf numFmtId="0" fontId="115" fillId="0" borderId="0" xfId="0" applyFont="1" applyFill="1" applyBorder="1" applyAlignment="1" applyProtection="1">
      <alignment horizontal="center"/>
    </xf>
    <xf numFmtId="172" fontId="35" fillId="0" borderId="0" xfId="0" applyNumberFormat="1" applyFont="1" applyBorder="1" applyAlignment="1">
      <alignment horizontal="center"/>
    </xf>
    <xf numFmtId="0" fontId="30" fillId="0" borderId="0" xfId="0" applyFont="1" applyBorder="1" applyAlignment="1">
      <alignment horizontal="left"/>
    </xf>
    <xf numFmtId="0" fontId="35" fillId="0" borderId="33" xfId="0" applyFont="1" applyBorder="1" applyAlignment="1">
      <alignment horizontal="center" vertical="center" wrapText="1"/>
    </xf>
    <xf numFmtId="0" fontId="115" fillId="5" borderId="42" xfId="0" applyFont="1" applyFill="1" applyBorder="1" applyAlignment="1" applyProtection="1">
      <alignment horizontal="center"/>
    </xf>
    <xf numFmtId="0" fontId="35" fillId="0" borderId="33" xfId="0" applyFont="1" applyBorder="1" applyAlignment="1">
      <alignment horizontal="center" vertical="center"/>
    </xf>
    <xf numFmtId="0" fontId="30" fillId="0" borderId="37" xfId="0" applyFont="1" applyBorder="1" applyAlignment="1" applyProtection="1">
      <alignment vertical="center" wrapText="1"/>
    </xf>
    <xf numFmtId="0" fontId="30" fillId="0" borderId="20" xfId="0" applyFont="1" applyBorder="1" applyAlignment="1" applyProtection="1">
      <alignment vertical="center" wrapText="1"/>
    </xf>
    <xf numFmtId="0" fontId="30" fillId="0" borderId="41" xfId="0" applyFont="1" applyBorder="1" applyAlignment="1" applyProtection="1">
      <alignment vertical="center" wrapText="1"/>
    </xf>
    <xf numFmtId="0" fontId="30" fillId="0" borderId="45" xfId="0" applyFont="1" applyBorder="1" applyAlignment="1">
      <alignment horizontal="left" vertical="center" wrapText="1"/>
    </xf>
    <xf numFmtId="0" fontId="30" fillId="0" borderId="0" xfId="0" applyFont="1" applyBorder="1" applyAlignment="1">
      <alignment horizontal="left" vertical="center" wrapText="1"/>
    </xf>
    <xf numFmtId="0" fontId="30" fillId="0" borderId="46" xfId="0" applyFont="1" applyBorder="1" applyAlignment="1">
      <alignment horizontal="left" vertical="center" wrapText="1"/>
    </xf>
    <xf numFmtId="0" fontId="30" fillId="0" borderId="38" xfId="0" applyFont="1" applyBorder="1" applyAlignment="1">
      <alignment horizontal="left" vertical="center" wrapText="1"/>
    </xf>
    <xf numFmtId="0" fontId="30" fillId="0" borderId="42" xfId="0" applyFont="1" applyBorder="1" applyAlignment="1">
      <alignment horizontal="left" vertical="center" wrapText="1"/>
    </xf>
    <xf numFmtId="0" fontId="30" fillId="0" borderId="44" xfId="0" applyFont="1" applyBorder="1" applyAlignment="1">
      <alignment horizontal="left" vertical="center" wrapText="1"/>
    </xf>
    <xf numFmtId="0" fontId="31" fillId="0" borderId="0" xfId="0" applyFont="1" applyAlignment="1">
      <alignment wrapText="1"/>
    </xf>
    <xf numFmtId="0" fontId="93" fillId="0" borderId="0" xfId="0" applyFont="1" applyAlignment="1">
      <alignment wrapText="1"/>
    </xf>
    <xf numFmtId="0" fontId="115" fillId="5" borderId="0" xfId="0" applyFont="1" applyFill="1" applyBorder="1" applyAlignment="1" applyProtection="1">
      <alignment horizontal="center"/>
    </xf>
    <xf numFmtId="0" fontId="35" fillId="0" borderId="19" xfId="0" applyFont="1" applyBorder="1" applyAlignment="1">
      <alignment horizontal="center" vertical="center" wrapText="1"/>
    </xf>
    <xf numFmtId="0" fontId="115" fillId="0" borderId="19" xfId="0" applyFont="1" applyBorder="1" applyAlignment="1">
      <alignment horizontal="center" vertical="center"/>
    </xf>
    <xf numFmtId="0" fontId="30" fillId="0" borderId="19" xfId="0" applyFont="1" applyBorder="1" applyAlignment="1">
      <alignment horizontal="left" wrapText="1"/>
    </xf>
    <xf numFmtId="0" fontId="35" fillId="0" borderId="0" xfId="0" applyFont="1" applyAlignment="1">
      <alignment horizontal="center"/>
    </xf>
    <xf numFmtId="164" fontId="99" fillId="0" borderId="19" xfId="0" applyNumberFormat="1" applyFont="1" applyFill="1" applyBorder="1" applyAlignment="1">
      <alignment horizontal="center" vertical="center"/>
    </xf>
    <xf numFmtId="164" fontId="99" fillId="0" borderId="19" xfId="0" applyNumberFormat="1" applyFont="1" applyFill="1" applyBorder="1" applyAlignment="1">
      <alignment horizontal="center" vertical="center" wrapText="1"/>
    </xf>
    <xf numFmtId="164" fontId="67" fillId="0" borderId="19" xfId="0" applyNumberFormat="1" applyFont="1" applyFill="1" applyBorder="1" applyAlignment="1">
      <alignment horizontal="center" vertical="center" wrapText="1"/>
    </xf>
    <xf numFmtId="0" fontId="35" fillId="0" borderId="0" xfId="0" applyFont="1" applyBorder="1" applyAlignment="1">
      <alignment horizontal="center" wrapText="1"/>
    </xf>
    <xf numFmtId="0" fontId="98" fillId="0" borderId="0" xfId="1153" applyNumberFormat="1" applyFont="1" applyFill="1" applyBorder="1" applyAlignment="1">
      <alignment horizontal="center"/>
    </xf>
    <xf numFmtId="172" fontId="98" fillId="0" borderId="0" xfId="0" applyNumberFormat="1" applyFont="1" applyBorder="1" applyAlignment="1">
      <alignment horizontal="center"/>
    </xf>
    <xf numFmtId="0" fontId="98" fillId="0" borderId="0" xfId="1153" applyNumberFormat="1" applyFont="1" applyFill="1" applyBorder="1" applyAlignment="1">
      <alignment horizontal="center" vertical="center" wrapText="1"/>
    </xf>
    <xf numFmtId="0" fontId="98" fillId="0" borderId="19" xfId="1153" applyNumberFormat="1" applyFont="1" applyFill="1" applyBorder="1" applyAlignment="1">
      <alignment horizontal="center"/>
    </xf>
    <xf numFmtId="0" fontId="98" fillId="0" borderId="19" xfId="1153" applyNumberFormat="1" applyFont="1" applyFill="1" applyBorder="1" applyAlignment="1">
      <alignment horizontal="center" vertical="center" wrapText="1"/>
    </xf>
    <xf numFmtId="0" fontId="30" fillId="0" borderId="0" xfId="0" applyFont="1" applyBorder="1" applyAlignment="1">
      <alignment horizontal="left" vertical="center"/>
    </xf>
    <xf numFmtId="0" fontId="30" fillId="0" borderId="19" xfId="0" applyFont="1" applyBorder="1" applyAlignment="1">
      <alignment horizontal="left" vertical="center"/>
    </xf>
    <xf numFmtId="0" fontId="148" fillId="0" borderId="0" xfId="0" applyFont="1" applyAlignment="1">
      <alignment horizontal="center" vertical="center"/>
    </xf>
    <xf numFmtId="49" fontId="35" fillId="0" borderId="19" xfId="0" applyNumberFormat="1" applyFont="1" applyFill="1" applyBorder="1" applyAlignment="1">
      <alignment horizontal="center" vertical="center" wrapText="1"/>
    </xf>
    <xf numFmtId="49" fontId="35" fillId="0" borderId="19" xfId="0" applyNumberFormat="1" applyFont="1" applyBorder="1" applyAlignment="1">
      <alignment horizontal="center" vertical="center" wrapText="1"/>
    </xf>
    <xf numFmtId="49" fontId="35" fillId="0" borderId="19" xfId="0" applyNumberFormat="1" applyFont="1" applyFill="1" applyBorder="1" applyAlignment="1">
      <alignment horizontal="center" vertical="center"/>
    </xf>
    <xf numFmtId="0" fontId="30" fillId="0" borderId="19" xfId="0" applyFont="1" applyBorder="1" applyAlignment="1">
      <alignment horizontal="left" vertical="top" wrapText="1"/>
    </xf>
    <xf numFmtId="192" fontId="102" fillId="0" borderId="19" xfId="0" applyNumberFormat="1" applyFont="1" applyFill="1" applyBorder="1" applyAlignment="1">
      <alignment horizontal="left" vertical="center" wrapText="1"/>
    </xf>
    <xf numFmtId="192" fontId="102" fillId="0" borderId="37" xfId="0" applyNumberFormat="1" applyFont="1" applyFill="1" applyBorder="1" applyAlignment="1">
      <alignment horizontal="left" vertical="center" wrapText="1"/>
    </xf>
    <xf numFmtId="192" fontId="102" fillId="0" borderId="41" xfId="0" applyNumberFormat="1" applyFont="1" applyFill="1" applyBorder="1" applyAlignment="1">
      <alignment horizontal="left" vertical="center" wrapText="1"/>
    </xf>
    <xf numFmtId="0" fontId="98" fillId="0" borderId="0" xfId="0" applyFont="1" applyBorder="1" applyAlignment="1">
      <alignment horizontal="center"/>
    </xf>
    <xf numFmtId="0" fontId="142" fillId="0" borderId="19" xfId="0" applyFont="1" applyFill="1" applyBorder="1" applyAlignment="1">
      <alignment horizontal="center" vertical="center" wrapText="1"/>
    </xf>
    <xf numFmtId="0" fontId="99" fillId="0" borderId="0" xfId="0" applyFont="1" applyBorder="1" applyAlignment="1">
      <alignment horizontal="center" vertical="center"/>
    </xf>
    <xf numFmtId="0" fontId="118" fillId="0" borderId="19" xfId="0" applyFont="1" applyFill="1" applyBorder="1" applyAlignment="1">
      <alignment horizontal="center" vertical="center" wrapText="1"/>
    </xf>
    <xf numFmtId="0" fontId="53" fillId="0" borderId="37" xfId="0" applyFont="1" applyFill="1" applyBorder="1" applyAlignment="1">
      <alignment horizontal="left" vertical="top" wrapText="1"/>
    </xf>
    <xf numFmtId="0" fontId="53" fillId="0" borderId="20" xfId="0" applyFont="1" applyFill="1" applyBorder="1" applyAlignment="1">
      <alignment horizontal="left" vertical="top" wrapText="1"/>
    </xf>
    <xf numFmtId="0" fontId="53" fillId="0" borderId="41" xfId="0" applyFont="1" applyFill="1" applyBorder="1" applyAlignment="1">
      <alignment horizontal="left" vertical="top" wrapText="1"/>
    </xf>
    <xf numFmtId="0" fontId="143" fillId="0" borderId="19" xfId="0" applyFont="1" applyBorder="1" applyAlignment="1">
      <alignment horizontal="left" wrapText="1"/>
    </xf>
    <xf numFmtId="0" fontId="143" fillId="0" borderId="0" xfId="0" applyFont="1" applyBorder="1" applyAlignment="1">
      <alignment horizontal="left" wrapText="1"/>
    </xf>
    <xf numFmtId="0" fontId="142" fillId="0" borderId="21" xfId="0" applyFont="1" applyFill="1" applyBorder="1" applyAlignment="1">
      <alignment horizontal="center" vertical="center" wrapText="1"/>
    </xf>
    <xf numFmtId="0" fontId="142" fillId="0" borderId="43" xfId="0" applyFont="1" applyFill="1" applyBorder="1" applyAlignment="1">
      <alignment horizontal="center" vertical="center" wrapText="1"/>
    </xf>
    <xf numFmtId="0" fontId="142" fillId="0" borderId="33" xfId="0" applyFont="1" applyFill="1" applyBorder="1" applyAlignment="1">
      <alignment horizontal="center" vertical="center" wrapText="1"/>
    </xf>
    <xf numFmtId="0" fontId="8" fillId="0" borderId="0" xfId="0" applyFont="1" applyBorder="1" applyAlignment="1">
      <alignment horizontal="left" wrapText="1"/>
    </xf>
    <xf numFmtId="0" fontId="103" fillId="0" borderId="0" xfId="0" applyFont="1" applyBorder="1" applyAlignment="1">
      <alignment horizontal="left" wrapText="1"/>
    </xf>
    <xf numFmtId="0" fontId="118" fillId="0" borderId="19" xfId="0" applyFont="1" applyFill="1" applyBorder="1" applyAlignment="1">
      <alignment horizontal="center" vertical="top" wrapText="1"/>
    </xf>
    <xf numFmtId="0" fontId="67" fillId="0" borderId="19" xfId="0" applyFont="1" applyFill="1" applyBorder="1" applyAlignment="1">
      <alignment horizontal="center" vertical="center" wrapText="1"/>
    </xf>
    <xf numFmtId="192" fontId="102" fillId="58" borderId="19" xfId="0" applyNumberFormat="1" applyFont="1" applyFill="1" applyBorder="1" applyAlignment="1">
      <alignment horizontal="left" vertical="center" wrapText="1"/>
    </xf>
    <xf numFmtId="192" fontId="102" fillId="58" borderId="37" xfId="0" applyNumberFormat="1" applyFont="1" applyFill="1" applyBorder="1" applyAlignment="1">
      <alignment horizontal="left" vertical="center" wrapText="1"/>
    </xf>
    <xf numFmtId="192" fontId="102" fillId="58" borderId="41" xfId="0" applyNumberFormat="1" applyFont="1" applyFill="1" applyBorder="1" applyAlignment="1">
      <alignment horizontal="left" vertical="center" wrapText="1"/>
    </xf>
    <xf numFmtId="0" fontId="118" fillId="0" borderId="37" xfId="0" applyFont="1" applyFill="1" applyBorder="1" applyAlignment="1">
      <alignment horizontal="center" vertical="center" wrapText="1"/>
    </xf>
    <xf numFmtId="0" fontId="118" fillId="0" borderId="20" xfId="0" applyFont="1" applyFill="1" applyBorder="1" applyAlignment="1">
      <alignment horizontal="center" vertical="center" wrapText="1"/>
    </xf>
    <xf numFmtId="0" fontId="118" fillId="0" borderId="41" xfId="0" applyFont="1" applyFill="1" applyBorder="1" applyAlignment="1">
      <alignment horizontal="center" vertical="center" wrapText="1"/>
    </xf>
    <xf numFmtId="49" fontId="35" fillId="0" borderId="0" xfId="0" applyNumberFormat="1" applyFont="1" applyBorder="1" applyAlignment="1">
      <alignment horizontal="center"/>
    </xf>
    <xf numFmtId="0" fontId="200" fillId="0" borderId="0" xfId="0" applyFont="1" applyBorder="1" applyAlignment="1">
      <alignment horizontal="left" wrapText="1"/>
    </xf>
    <xf numFmtId="0" fontId="32" fillId="0" borderId="21" xfId="0" applyFont="1" applyBorder="1" applyAlignment="1">
      <alignment horizontal="center" vertical="center"/>
    </xf>
    <xf numFmtId="0" fontId="32" fillId="0" borderId="43" xfId="0" applyFont="1" applyBorder="1" applyAlignment="1">
      <alignment horizontal="center" vertical="center"/>
    </xf>
    <xf numFmtId="0" fontId="32" fillId="0" borderId="33" xfId="0" applyFont="1" applyBorder="1" applyAlignment="1">
      <alignment horizontal="center" vertical="center"/>
    </xf>
    <xf numFmtId="0" fontId="32" fillId="0" borderId="19" xfId="0" applyFont="1" applyBorder="1" applyAlignment="1">
      <alignment horizontal="center" vertical="center"/>
    </xf>
    <xf numFmtId="0" fontId="178" fillId="0" borderId="37" xfId="0" applyFont="1" applyBorder="1" applyAlignment="1">
      <alignment horizontal="center" vertical="center"/>
    </xf>
    <xf numFmtId="0" fontId="178" fillId="0" borderId="20" xfId="0" applyFont="1" applyBorder="1" applyAlignment="1">
      <alignment horizontal="center" vertical="center"/>
    </xf>
    <xf numFmtId="0" fontId="178" fillId="0" borderId="37" xfId="0" applyFont="1" applyBorder="1" applyAlignment="1">
      <alignment horizontal="center" vertical="center" wrapText="1"/>
    </xf>
    <xf numFmtId="0" fontId="178" fillId="0" borderId="41" xfId="0" applyFont="1" applyBorder="1" applyAlignment="1">
      <alignment horizontal="center" vertical="center" wrapText="1"/>
    </xf>
    <xf numFmtId="0" fontId="178" fillId="0" borderId="41" xfId="0" applyFont="1" applyBorder="1" applyAlignment="1">
      <alignment horizontal="center" vertical="center"/>
    </xf>
    <xf numFmtId="0" fontId="32" fillId="0" borderId="2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3" xfId="0" applyFont="1" applyBorder="1" applyAlignment="1">
      <alignment horizontal="center" vertical="center" wrapText="1"/>
    </xf>
    <xf numFmtId="0" fontId="178" fillId="0" borderId="19" xfId="0" applyFont="1" applyBorder="1" applyAlignment="1">
      <alignment horizontal="center" vertical="center" wrapText="1"/>
    </xf>
    <xf numFmtId="0" fontId="189" fillId="0" borderId="19" xfId="0" applyFont="1" applyBorder="1" applyAlignment="1">
      <alignment horizontal="center" vertical="center"/>
    </xf>
    <xf numFmtId="0" fontId="178" fillId="0" borderId="19" xfId="0" applyFont="1" applyBorder="1" applyAlignment="1">
      <alignment horizontal="center" vertical="center"/>
    </xf>
    <xf numFmtId="0" fontId="115" fillId="0" borderId="42" xfId="0" applyFont="1" applyBorder="1" applyAlignment="1">
      <alignment horizontal="center"/>
    </xf>
    <xf numFmtId="183" fontId="30" fillId="0" borderId="0" xfId="0" applyNumberFormat="1" applyFont="1" applyFill="1" applyAlignment="1">
      <alignment horizontal="left" wrapText="1"/>
    </xf>
    <xf numFmtId="0" fontId="30" fillId="0" borderId="37" xfId="0" applyFont="1" applyBorder="1" applyAlignment="1">
      <alignment horizontal="left" vertical="center" wrapText="1"/>
    </xf>
    <xf numFmtId="0" fontId="30" fillId="0" borderId="20" xfId="0" applyFont="1" applyBorder="1" applyAlignment="1">
      <alignment horizontal="left" vertical="center" wrapText="1"/>
    </xf>
    <xf numFmtId="0" fontId="30" fillId="0" borderId="41" xfId="0" applyFont="1" applyBorder="1" applyAlignment="1">
      <alignment horizontal="left" vertical="center" wrapText="1"/>
    </xf>
    <xf numFmtId="181" fontId="99" fillId="0" borderId="21" xfId="1152" applyNumberFormat="1" applyFont="1" applyFill="1" applyBorder="1" applyAlignment="1">
      <alignment horizontal="center" vertical="center"/>
    </xf>
    <xf numFmtId="181" fontId="99" fillId="0" borderId="33" xfId="1152" applyNumberFormat="1" applyFont="1" applyFill="1" applyBorder="1" applyAlignment="1">
      <alignment horizontal="center" vertical="center"/>
    </xf>
    <xf numFmtId="180" fontId="99" fillId="0" borderId="37" xfId="1152" applyNumberFormat="1" applyFont="1" applyBorder="1" applyAlignment="1">
      <alignment horizontal="center" vertical="center" wrapText="1"/>
    </xf>
    <xf numFmtId="180" fontId="99" fillId="0" borderId="20" xfId="1152" applyNumberFormat="1" applyFont="1" applyBorder="1" applyAlignment="1">
      <alignment horizontal="center" vertical="center" wrapText="1"/>
    </xf>
    <xf numFmtId="180" fontId="99" fillId="0" borderId="41" xfId="1152" applyNumberFormat="1" applyFont="1" applyBorder="1" applyAlignment="1">
      <alignment horizontal="center" vertical="center" wrapText="1"/>
    </xf>
    <xf numFmtId="0" fontId="8" fillId="0" borderId="0" xfId="1225" applyFont="1" applyAlignment="1">
      <alignment vertical="top" wrapText="1"/>
    </xf>
    <xf numFmtId="0" fontId="96" fillId="0" borderId="0" xfId="1225" applyFont="1" applyAlignment="1">
      <alignment vertical="top" wrapText="1"/>
    </xf>
    <xf numFmtId="0" fontId="53" fillId="0" borderId="0" xfId="1225" applyFont="1" applyAlignment="1">
      <alignment vertical="top" wrapText="1"/>
    </xf>
    <xf numFmtId="0" fontId="8" fillId="0" borderId="0" xfId="1225" applyFont="1" applyAlignment="1">
      <alignment horizontal="left" vertical="center"/>
    </xf>
    <xf numFmtId="0" fontId="8" fillId="0" borderId="0" xfId="1225" applyFont="1" applyFill="1" applyAlignment="1">
      <alignment vertical="top" wrapText="1"/>
    </xf>
    <xf numFmtId="0" fontId="96" fillId="0" borderId="0" xfId="1225" applyFont="1" applyFill="1" applyAlignment="1">
      <alignment vertical="top"/>
    </xf>
    <xf numFmtId="0" fontId="96" fillId="0" borderId="0" xfId="1225" applyFont="1" applyAlignment="1">
      <alignment vertical="top"/>
    </xf>
    <xf numFmtId="0" fontId="30" fillId="0" borderId="0" xfId="0" applyFont="1" applyAlignment="1">
      <alignment horizontal="center"/>
    </xf>
    <xf numFmtId="0" fontId="61" fillId="0" borderId="0" xfId="1232" applyFont="1" applyFill="1" applyAlignment="1" applyProtection="1">
      <alignment horizontal="right" vertical="top" wrapText="1" readingOrder="1"/>
      <protection locked="0"/>
    </xf>
    <xf numFmtId="0" fontId="8" fillId="0" borderId="0" xfId="1232" applyFont="1" applyFill="1" applyAlignment="1">
      <alignment wrapText="1"/>
    </xf>
    <xf numFmtId="0" fontId="30" fillId="0" borderId="36" xfId="0" applyFont="1" applyBorder="1" applyAlignment="1">
      <alignment horizontal="left" vertical="top" wrapText="1"/>
    </xf>
    <xf numFmtId="0" fontId="30" fillId="0" borderId="0" xfId="0" applyFont="1" applyBorder="1" applyAlignment="1">
      <alignment horizontal="left" vertical="top" wrapText="1"/>
    </xf>
    <xf numFmtId="0" fontId="61" fillId="0" borderId="0" xfId="0" applyFont="1" applyAlignment="1" applyProtection="1">
      <alignment horizontal="right" vertical="top" wrapText="1" readingOrder="1"/>
      <protection locked="0"/>
    </xf>
    <xf numFmtId="0" fontId="0" fillId="0" borderId="0" xfId="0" applyAlignment="1">
      <alignment wrapText="1"/>
    </xf>
    <xf numFmtId="0" fontId="30" fillId="0" borderId="0" xfId="0" applyFont="1" applyAlignment="1">
      <alignment horizontal="left" vertical="center" wrapText="1"/>
    </xf>
    <xf numFmtId="0" fontId="115" fillId="0" borderId="0" xfId="0" applyFont="1" applyBorder="1" applyAlignment="1">
      <alignment horizontal="center" vertical="center" wrapText="1"/>
    </xf>
    <xf numFmtId="0" fontId="53" fillId="58" borderId="37" xfId="0" applyFont="1" applyFill="1" applyBorder="1" applyAlignment="1">
      <alignment horizontal="left" vertical="center" wrapText="1"/>
    </xf>
    <xf numFmtId="0" fontId="53" fillId="58" borderId="20" xfId="0" applyFont="1" applyFill="1" applyBorder="1" applyAlignment="1">
      <alignment horizontal="left" vertical="center" wrapText="1"/>
    </xf>
    <xf numFmtId="0" fontId="53" fillId="58" borderId="41" xfId="0" applyFont="1" applyFill="1" applyBorder="1" applyAlignment="1">
      <alignment horizontal="left" vertical="center" wrapText="1"/>
    </xf>
    <xf numFmtId="3" fontId="53" fillId="58" borderId="37" xfId="0" applyNumberFormat="1" applyFont="1" applyFill="1" applyBorder="1" applyAlignment="1">
      <alignment horizontal="left" vertical="center" wrapText="1"/>
    </xf>
    <xf numFmtId="3" fontId="53" fillId="58" borderId="20" xfId="0" applyNumberFormat="1" applyFont="1" applyFill="1" applyBorder="1" applyAlignment="1">
      <alignment horizontal="left" vertical="center" wrapText="1"/>
    </xf>
    <xf numFmtId="3" fontId="53" fillId="58" borderId="41" xfId="0" applyNumberFormat="1" applyFont="1" applyFill="1" applyBorder="1" applyAlignment="1">
      <alignment horizontal="left" vertical="center" wrapText="1"/>
    </xf>
    <xf numFmtId="0" fontId="30" fillId="0" borderId="0" xfId="0" applyFont="1" applyBorder="1" applyAlignment="1" applyProtection="1">
      <alignment vertical="center"/>
    </xf>
    <xf numFmtId="0" fontId="8" fillId="0" borderId="0" xfId="0" applyFont="1" applyAlignment="1">
      <alignment horizontal="left" vertical="center" wrapText="1"/>
    </xf>
    <xf numFmtId="0" fontId="30" fillId="0" borderId="19" xfId="0" applyFont="1" applyBorder="1" applyAlignment="1" applyProtection="1">
      <alignment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30" fillId="0" borderId="19" xfId="0" applyFont="1" applyBorder="1" applyAlignment="1" applyProtection="1">
      <alignment vertical="center" wrapText="1"/>
    </xf>
    <xf numFmtId="0" fontId="8" fillId="0" borderId="43" xfId="0" applyFont="1" applyFill="1" applyBorder="1" applyAlignment="1">
      <alignment horizontal="center" vertical="center"/>
    </xf>
    <xf numFmtId="0" fontId="8" fillId="0" borderId="33" xfId="0" applyFont="1" applyFill="1" applyBorder="1" applyAlignment="1">
      <alignment horizontal="center" vertical="center"/>
    </xf>
    <xf numFmtId="0" fontId="67"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wrapText="1"/>
    </xf>
    <xf numFmtId="0" fontId="0" fillId="0" borderId="19" xfId="0" applyBorder="1" applyAlignment="1">
      <alignment horizontal="center"/>
    </xf>
    <xf numFmtId="3" fontId="8" fillId="0" borderId="19" xfId="0" applyNumberFormat="1" applyFont="1" applyFill="1" applyBorder="1" applyAlignment="1">
      <alignment horizontal="center" vertical="center" wrapText="1"/>
    </xf>
    <xf numFmtId="0" fontId="66" fillId="0" borderId="0" xfId="0" applyFont="1" applyBorder="1" applyAlignment="1">
      <alignment horizontal="left" vertical="center" wrapText="1"/>
    </xf>
    <xf numFmtId="0" fontId="106" fillId="0" borderId="0" xfId="0" applyFont="1" applyBorder="1" applyAlignment="1">
      <alignment horizontal="left" vertical="center" wrapText="1"/>
    </xf>
    <xf numFmtId="0" fontId="30" fillId="0" borderId="0" xfId="0" applyFont="1" applyBorder="1" applyAlignment="1">
      <alignment horizontal="center" vertical="center" wrapText="1"/>
    </xf>
    <xf numFmtId="0" fontId="106" fillId="0" borderId="0" xfId="0" applyFont="1" applyBorder="1" applyAlignment="1">
      <alignment horizontal="left" vertical="center"/>
    </xf>
    <xf numFmtId="0" fontId="66"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30" fillId="0" borderId="36" xfId="0" applyFont="1" applyBorder="1" applyAlignment="1" applyProtection="1">
      <alignment horizontal="left" vertical="center" wrapText="1"/>
    </xf>
    <xf numFmtId="0" fontId="35" fillId="0" borderId="0" xfId="0" applyFont="1" applyFill="1" applyBorder="1" applyAlignment="1" applyProtection="1">
      <alignment horizontal="center" vertical="center"/>
    </xf>
    <xf numFmtId="0" fontId="35" fillId="0" borderId="42" xfId="0" applyFont="1" applyFill="1" applyBorder="1" applyAlignment="1" applyProtection="1">
      <alignment horizontal="center"/>
    </xf>
    <xf numFmtId="0" fontId="35" fillId="0" borderId="19" xfId="0" applyFont="1" applyFill="1" applyBorder="1" applyAlignment="1">
      <alignment horizontal="center" vertical="center" wrapText="1"/>
    </xf>
    <xf numFmtId="0" fontId="35" fillId="0" borderId="19"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19" xfId="0" applyFont="1" applyFill="1" applyBorder="1" applyAlignment="1">
      <alignment horizontal="left" vertical="center" wrapText="1"/>
    </xf>
    <xf numFmtId="172" fontId="35" fillId="0" borderId="0" xfId="0" applyNumberFormat="1" applyFont="1" applyFill="1" applyBorder="1" applyAlignment="1">
      <alignment horizontal="center"/>
    </xf>
    <xf numFmtId="172" fontId="35" fillId="0" borderId="0" xfId="0" applyNumberFormat="1" applyFont="1" applyBorder="1" applyAlignment="1">
      <alignment horizontal="center" vertical="center"/>
    </xf>
    <xf numFmtId="0" fontId="196" fillId="0" borderId="0" xfId="0" applyFont="1" applyFill="1" applyBorder="1" applyAlignment="1">
      <alignment horizontal="left" vertical="center" wrapText="1"/>
    </xf>
    <xf numFmtId="172" fontId="35" fillId="0" borderId="0" xfId="0" applyNumberFormat="1" applyFont="1" applyFill="1" applyBorder="1" applyAlignment="1">
      <alignment horizontal="center" vertical="center"/>
    </xf>
    <xf numFmtId="0" fontId="35" fillId="0" borderId="19" xfId="0" applyFont="1" applyBorder="1" applyAlignment="1">
      <alignment horizontal="left" vertical="center"/>
    </xf>
    <xf numFmtId="49" fontId="35" fillId="0" borderId="19" xfId="0" applyNumberFormat="1" applyFont="1" applyBorder="1" applyAlignment="1">
      <alignment horizontal="center" vertical="center"/>
    </xf>
    <xf numFmtId="0" fontId="8" fillId="0" borderId="0" xfId="1225" applyFont="1" applyAlignment="1">
      <alignment horizontal="left" vertical="center" wrapText="1"/>
    </xf>
    <xf numFmtId="0" fontId="96" fillId="0" borderId="0" xfId="1225" applyFont="1" applyAlignment="1">
      <alignment vertical="center"/>
    </xf>
    <xf numFmtId="0" fontId="96" fillId="0" borderId="0" xfId="1225" applyFont="1" applyAlignment="1">
      <alignment horizontal="left" vertical="top" wrapText="1"/>
    </xf>
    <xf numFmtId="0" fontId="96" fillId="0" borderId="0" xfId="1225" applyFont="1" applyAlignment="1">
      <alignment horizontal="left" vertical="top"/>
    </xf>
    <xf numFmtId="0" fontId="8" fillId="0" borderId="0" xfId="1225" applyFont="1" applyAlignment="1">
      <alignment horizontal="left" vertical="top" wrapText="1"/>
    </xf>
    <xf numFmtId="0" fontId="53" fillId="0" borderId="0" xfId="1225" applyFont="1" applyAlignment="1">
      <alignment vertical="center" wrapText="1"/>
    </xf>
    <xf numFmtId="0" fontId="96" fillId="0" borderId="0" xfId="1225" applyFont="1" applyAlignment="1">
      <alignment vertical="center" wrapText="1"/>
    </xf>
    <xf numFmtId="0" fontId="8" fillId="0" borderId="0" xfId="1225" applyFont="1" applyFill="1" applyAlignment="1">
      <alignment horizontal="left" vertical="center" wrapText="1"/>
    </xf>
    <xf numFmtId="0" fontId="98" fillId="0" borderId="0" xfId="0" applyFont="1" applyAlignment="1">
      <alignment horizontal="center" vertical="center"/>
    </xf>
    <xf numFmtId="0" fontId="8" fillId="0" borderId="0" xfId="1225" applyFont="1" applyFill="1" applyAlignment="1">
      <alignment horizontal="left" vertical="top" wrapText="1"/>
    </xf>
    <xf numFmtId="0" fontId="53" fillId="0" borderId="0" xfId="1225" applyFont="1" applyAlignment="1">
      <alignment horizontal="left" vertical="top" wrapText="1"/>
    </xf>
    <xf numFmtId="0" fontId="73" fillId="0" borderId="0" xfId="1238" applyFont="1" applyAlignment="1" applyProtection="1">
      <alignment horizontal="center" vertical="top" wrapText="1" readingOrder="1"/>
      <protection locked="0"/>
    </xf>
    <xf numFmtId="0" fontId="8" fillId="0" borderId="0" xfId="1238" applyAlignment="1">
      <alignment wrapText="1"/>
    </xf>
    <xf numFmtId="0" fontId="74" fillId="0" borderId="29" xfId="1238" applyFont="1" applyBorder="1" applyAlignment="1" applyProtection="1">
      <alignment horizontal="left" vertical="center" wrapText="1" readingOrder="1"/>
      <protection locked="0"/>
    </xf>
    <xf numFmtId="0" fontId="8" fillId="0" borderId="29" xfId="1238" applyBorder="1" applyAlignment="1">
      <alignment wrapText="1"/>
    </xf>
    <xf numFmtId="0" fontId="61" fillId="0" borderId="29" xfId="1238" applyFont="1" applyBorder="1" applyAlignment="1" applyProtection="1">
      <alignment horizontal="right" vertical="top" wrapText="1" readingOrder="1"/>
      <protection locked="0"/>
    </xf>
    <xf numFmtId="0" fontId="8" fillId="0" borderId="29" xfId="1238" applyBorder="1" applyAlignment="1">
      <alignment vertical="top" wrapText="1"/>
    </xf>
    <xf numFmtId="0" fontId="73" fillId="0" borderId="0" xfId="1238" applyFont="1" applyAlignment="1" applyProtection="1">
      <alignment horizontal="right" vertical="top" wrapText="1" readingOrder="1"/>
      <protection locked="0"/>
    </xf>
    <xf numFmtId="0" fontId="76" fillId="0" borderId="47" xfId="1238" applyFont="1" applyBorder="1" applyAlignment="1" applyProtection="1">
      <alignment horizontal="center" wrapText="1" readingOrder="2"/>
      <protection locked="0"/>
    </xf>
    <xf numFmtId="0" fontId="8" fillId="0" borderId="47" xfId="1238" applyBorder="1" applyAlignment="1">
      <alignment wrapText="1"/>
    </xf>
    <xf numFmtId="0" fontId="61" fillId="0" borderId="0" xfId="1238" applyFont="1" applyAlignment="1" applyProtection="1">
      <alignment horizontal="left" vertical="top" wrapText="1" readingOrder="1"/>
      <protection locked="0"/>
    </xf>
    <xf numFmtId="0" fontId="61" fillId="0" borderId="0" xfId="1238" applyFont="1" applyAlignment="1" applyProtection="1">
      <alignment horizontal="right" vertical="top" wrapText="1" readingOrder="1"/>
      <protection locked="0"/>
    </xf>
    <xf numFmtId="0" fontId="76" fillId="0" borderId="31" xfId="1238" applyFont="1" applyBorder="1" applyAlignment="1" applyProtection="1">
      <alignment horizontal="right" vertical="top" wrapText="1" readingOrder="1"/>
      <protection locked="0"/>
    </xf>
    <xf numFmtId="0" fontId="8" fillId="0" borderId="31" xfId="1238" applyBorder="1" applyAlignment="1">
      <alignment vertical="top" wrapText="1"/>
    </xf>
    <xf numFmtId="0" fontId="61" fillId="0" borderId="0" xfId="1238" applyFont="1" applyBorder="1" applyAlignment="1" applyProtection="1">
      <alignment horizontal="right" vertical="top" wrapText="1" readingOrder="1"/>
      <protection locked="0"/>
    </xf>
    <xf numFmtId="0" fontId="8" fillId="0" borderId="0" xfId="1238" applyBorder="1" applyAlignment="1">
      <alignment wrapText="1"/>
    </xf>
    <xf numFmtId="0" fontId="30" fillId="0" borderId="19" xfId="0" applyFont="1" applyBorder="1" applyAlignment="1">
      <alignment vertical="center" wrapText="1"/>
    </xf>
    <xf numFmtId="0" fontId="8" fillId="0" borderId="0" xfId="1238" applyBorder="1" applyAlignment="1">
      <alignment vertical="top" wrapText="1"/>
    </xf>
    <xf numFmtId="0" fontId="76" fillId="0" borderId="0" xfId="1238" applyFont="1" applyBorder="1" applyAlignment="1" applyProtection="1">
      <alignment horizontal="right" wrapText="1" readingOrder="1"/>
      <protection locked="0"/>
    </xf>
    <xf numFmtId="0" fontId="30" fillId="58" borderId="19" xfId="0" applyFont="1" applyFill="1" applyBorder="1" applyAlignment="1">
      <alignment horizontal="left"/>
    </xf>
    <xf numFmtId="0" fontId="53" fillId="0" borderId="19" xfId="0" applyFont="1" applyBorder="1" applyAlignment="1">
      <alignment horizontal="left" vertical="center" wrapText="1"/>
    </xf>
    <xf numFmtId="173" fontId="53" fillId="58" borderId="19" xfId="0" applyNumberFormat="1" applyFont="1" applyFill="1" applyBorder="1" applyAlignment="1">
      <alignment horizontal="left" vertical="center" wrapText="1"/>
    </xf>
    <xf numFmtId="0" fontId="30" fillId="0" borderId="19" xfId="0" applyFont="1" applyBorder="1" applyAlignment="1" applyProtection="1">
      <alignment horizontal="left" vertical="center"/>
    </xf>
    <xf numFmtId="0" fontId="30" fillId="0" borderId="19" xfId="1882" applyFont="1" applyBorder="1" applyAlignment="1" applyProtection="1">
      <alignment horizontal="left" vertical="center" wrapText="1"/>
    </xf>
    <xf numFmtId="0" fontId="8" fillId="0" borderId="19" xfId="0" applyFont="1" applyBorder="1" applyAlignment="1">
      <alignment horizontal="center" vertical="center" wrapText="1"/>
    </xf>
    <xf numFmtId="3" fontId="8" fillId="0" borderId="37" xfId="0" applyNumberFormat="1" applyFont="1" applyFill="1" applyBorder="1" applyAlignment="1">
      <alignment horizontal="center" vertical="center" wrapText="1"/>
    </xf>
    <xf numFmtId="3" fontId="8" fillId="0" borderId="41" xfId="0" applyNumberFormat="1" applyFont="1" applyFill="1" applyBorder="1" applyAlignment="1">
      <alignment horizontal="center" vertical="center" wrapText="1"/>
    </xf>
    <xf numFmtId="0" fontId="35" fillId="0" borderId="0" xfId="0" applyFont="1" applyFill="1" applyBorder="1" applyAlignment="1">
      <alignment horizontal="center" vertical="center"/>
    </xf>
    <xf numFmtId="0" fontId="35" fillId="0" borderId="37" xfId="0" applyFont="1" applyFill="1" applyBorder="1" applyAlignment="1">
      <alignment horizontal="left" vertical="center" wrapText="1"/>
    </xf>
    <xf numFmtId="0" fontId="35" fillId="0" borderId="20" xfId="0" applyFont="1" applyFill="1" applyBorder="1" applyAlignment="1">
      <alignment horizontal="left" vertical="center" wrapText="1"/>
    </xf>
    <xf numFmtId="3" fontId="35" fillId="0" borderId="37" xfId="0" applyNumberFormat="1" applyFont="1" applyFill="1" applyBorder="1" applyAlignment="1">
      <alignment horizontal="center" vertical="center" wrapText="1"/>
    </xf>
    <xf numFmtId="3" fontId="35" fillId="0" borderId="41"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19" xfId="0" applyFont="1" applyFill="1" applyBorder="1" applyAlignment="1">
      <alignment vertical="center" wrapText="1"/>
    </xf>
    <xf numFmtId="0" fontId="8" fillId="0" borderId="37" xfId="0" applyFont="1" applyFill="1" applyBorder="1" applyAlignment="1">
      <alignment vertical="center" wrapText="1"/>
    </xf>
    <xf numFmtId="0" fontId="106" fillId="0" borderId="0" xfId="0" applyFont="1" applyBorder="1" applyAlignment="1">
      <alignment horizontal="left" wrapText="1"/>
    </xf>
    <xf numFmtId="0" fontId="66" fillId="0" borderId="37" xfId="0" applyFont="1" applyBorder="1" applyAlignment="1">
      <alignment horizontal="left" vertical="center" wrapText="1"/>
    </xf>
    <xf numFmtId="0" fontId="66" fillId="0" borderId="20" xfId="0" applyFont="1" applyBorder="1" applyAlignment="1">
      <alignment horizontal="left" vertical="center" wrapText="1"/>
    </xf>
    <xf numFmtId="0" fontId="66" fillId="0" borderId="41" xfId="0" applyFont="1" applyBorder="1" applyAlignment="1">
      <alignment horizontal="left" vertical="center" wrapText="1"/>
    </xf>
    <xf numFmtId="0" fontId="35" fillId="0" borderId="37"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19" xfId="0" applyFont="1" applyFill="1" applyBorder="1" applyAlignment="1">
      <alignment vertical="center" wrapText="1"/>
    </xf>
    <xf numFmtId="0" fontId="8" fillId="0" borderId="19" xfId="0" applyFont="1" applyFill="1" applyBorder="1" applyAlignment="1">
      <alignment vertical="center"/>
    </xf>
    <xf numFmtId="0" fontId="8" fillId="0" borderId="37" xfId="0" applyFont="1" applyFill="1" applyBorder="1" applyAlignment="1">
      <alignment vertical="center"/>
    </xf>
    <xf numFmtId="0" fontId="35" fillId="5" borderId="0" xfId="0" applyFont="1" applyFill="1" applyBorder="1" applyAlignment="1" applyProtection="1">
      <alignment horizontal="center" vertical="top"/>
    </xf>
    <xf numFmtId="0" fontId="35" fillId="0" borderId="19" xfId="0" applyFont="1" applyFill="1" applyBorder="1" applyAlignment="1" applyProtection="1">
      <alignment horizontal="center" vertical="center" wrapText="1"/>
    </xf>
    <xf numFmtId="0" fontId="35" fillId="58" borderId="19" xfId="0" applyFont="1" applyFill="1" applyBorder="1" applyAlignment="1">
      <alignment horizontal="center" vertical="center" wrapText="1"/>
    </xf>
    <xf numFmtId="0" fontId="31" fillId="0" borderId="0" xfId="0" applyFont="1" applyFill="1" applyAlignment="1">
      <alignment wrapText="1"/>
    </xf>
    <xf numFmtId="0" fontId="93" fillId="0" borderId="0" xfId="0" applyFont="1" applyFill="1" applyAlignment="1">
      <alignment wrapText="1"/>
    </xf>
    <xf numFmtId="0" fontId="35" fillId="0" borderId="37" xfId="0" applyFont="1" applyBorder="1" applyAlignment="1">
      <alignment horizontal="center" vertical="center"/>
    </xf>
    <xf numFmtId="0" fontId="35" fillId="0" borderId="20" xfId="0" applyFont="1" applyBorder="1" applyAlignment="1">
      <alignment horizontal="center" vertical="center"/>
    </xf>
    <xf numFmtId="0" fontId="35" fillId="0" borderId="41" xfId="0" applyFont="1" applyBorder="1" applyAlignment="1">
      <alignment horizontal="center" vertical="center"/>
    </xf>
    <xf numFmtId="0" fontId="30" fillId="0" borderId="33" xfId="0" applyFont="1" applyBorder="1" applyAlignment="1">
      <alignment horizontal="left" vertical="center" wrapText="1"/>
    </xf>
    <xf numFmtId="0" fontId="35" fillId="58" borderId="37" xfId="0" applyFont="1" applyFill="1" applyBorder="1" applyAlignment="1">
      <alignment horizontal="center" vertical="center" wrapText="1"/>
    </xf>
    <xf numFmtId="0" fontId="35" fillId="58" borderId="41" xfId="0" applyFont="1" applyFill="1" applyBorder="1" applyAlignment="1">
      <alignment horizontal="center" vertical="center" wrapText="1"/>
    </xf>
    <xf numFmtId="0" fontId="35" fillId="0" borderId="0" xfId="0" applyFont="1" applyFill="1" applyBorder="1" applyAlignment="1">
      <alignment horizontal="center" wrapText="1"/>
    </xf>
    <xf numFmtId="2" fontId="30" fillId="0" borderId="19" xfId="0" applyNumberFormat="1" applyFont="1" applyBorder="1" applyAlignment="1">
      <alignment horizontal="left" vertical="top" wrapText="1"/>
    </xf>
    <xf numFmtId="14" fontId="30" fillId="0" borderId="19" xfId="0" applyNumberFormat="1" applyFont="1" applyBorder="1" applyAlignment="1">
      <alignment horizontal="left" vertical="center"/>
    </xf>
    <xf numFmtId="0" fontId="127" fillId="0" borderId="0" xfId="0" applyFont="1" applyFill="1" applyBorder="1" applyAlignment="1">
      <alignment horizontal="center"/>
    </xf>
    <xf numFmtId="0" fontId="67" fillId="0" borderId="0" xfId="0" applyFont="1" applyAlignment="1">
      <alignment horizontal="center" vertical="center" wrapText="1"/>
    </xf>
    <xf numFmtId="0" fontId="79" fillId="0" borderId="0" xfId="0" applyFont="1" applyAlignment="1">
      <alignment horizontal="center" vertical="center" wrapText="1"/>
    </xf>
    <xf numFmtId="0" fontId="79" fillId="0" borderId="0" xfId="0" applyFont="1" applyBorder="1" applyAlignment="1">
      <alignment horizontal="center" vertical="center" wrapText="1"/>
    </xf>
  </cellXfs>
  <cellStyles count="1999">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aje 6" xfId="1997" xr:uid="{97F3B969-333B-4583-9BBF-8592A8C6E002}"/>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pt idx="2">
                  <c:v>769.31</c:v>
                </c:pt>
                <c:pt idx="3">
                  <c:v>766.03</c:v>
                </c:pt>
                <c:pt idx="4">
                  <c:v>770.49</c:v>
                </c:pt>
                <c:pt idx="5">
                  <c:v>773.08</c:v>
                </c:pt>
                <c:pt idx="6">
                  <c:v>772.38</c:v>
                </c:pt>
                <c:pt idx="7">
                  <c:v>773.66</c:v>
                </c:pt>
                <c:pt idx="8">
                  <c:v>772.64</c:v>
                </c:pt>
                <c:pt idx="9">
                  <c:v>773.44</c:v>
                </c:pt>
                <c:pt idx="10">
                  <c:v>776.78</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pt idx="2">
                  <c:v>751.59</c:v>
                </c:pt>
                <c:pt idx="3">
                  <c:v>750.14</c:v>
                </c:pt>
                <c:pt idx="4">
                  <c:v>750.9</c:v>
                </c:pt>
                <c:pt idx="5">
                  <c:v>751.03</c:v>
                </c:pt>
                <c:pt idx="6">
                  <c:v>752.68</c:v>
                </c:pt>
                <c:pt idx="7">
                  <c:v>757.7</c:v>
                </c:pt>
                <c:pt idx="8">
                  <c:v>759.54</c:v>
                </c:pt>
                <c:pt idx="9">
                  <c:v>769.32</c:v>
                </c:pt>
                <c:pt idx="10">
                  <c:v>775.89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'20'!$G$6:$G$19</c:f>
              <c:numCache>
                <c:formatCode>0</c:formatCode>
                <c:ptCount val="14"/>
                <c:pt idx="0">
                  <c:v>186.69354838709677</c:v>
                </c:pt>
                <c:pt idx="1">
                  <c:v>190.5</c:v>
                </c:pt>
                <c:pt idx="2">
                  <c:v>206.29569892473123</c:v>
                </c:pt>
                <c:pt idx="3">
                  <c:v>209.46666666666667</c:v>
                </c:pt>
                <c:pt idx="4">
                  <c:v>211.61290322580643</c:v>
                </c:pt>
                <c:pt idx="5">
                  <c:v>205</c:v>
                </c:pt>
                <c:pt idx="6">
                  <c:v>200.80645161290323</c:v>
                </c:pt>
                <c:pt idx="7">
                  <c:v>200</c:v>
                </c:pt>
                <c:pt idx="8">
                  <c:v>200</c:v>
                </c:pt>
                <c:pt idx="9">
                  <c:v>201.11111111111109</c:v>
                </c:pt>
                <c:pt idx="11">
                  <c:v>210.4</c:v>
                </c:pt>
                <c:pt idx="12">
                  <c:v>206.00806451612902</c:v>
                </c:pt>
                <c:pt idx="13">
                  <c:v>213.75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'20'!$F$6:$F$19</c:f>
              <c:numCache>
                <c:formatCode>0</c:formatCode>
                <c:ptCount val="14"/>
                <c:pt idx="0">
                  <c:v>210.10677419354838</c:v>
                </c:pt>
                <c:pt idx="1">
                  <c:v>227.43</c:v>
                </c:pt>
                <c:pt idx="2">
                  <c:v>243.37225806451613</c:v>
                </c:pt>
                <c:pt idx="3">
                  <c:v>248.03900000000002</c:v>
                </c:pt>
                <c:pt idx="4">
                  <c:v>234.98516129032257</c:v>
                </c:pt>
                <c:pt idx="5">
                  <c:v>227.24099999999999</c:v>
                </c:pt>
                <c:pt idx="6">
                  <c:v>223.77709677419355</c:v>
                </c:pt>
                <c:pt idx="7">
                  <c:v>221.25533333333334</c:v>
                </c:pt>
                <c:pt idx="8">
                  <c:v>222.61703703703705</c:v>
                </c:pt>
                <c:pt idx="9">
                  <c:v>240.18096774193549</c:v>
                </c:pt>
                <c:pt idx="10">
                  <c:v>234.87833333333333</c:v>
                </c:pt>
                <c:pt idx="11">
                  <c:v>232.79064516129034</c:v>
                </c:pt>
                <c:pt idx="12">
                  <c:v>235.21935483870965</c:v>
                </c:pt>
                <c:pt idx="13">
                  <c:v>228.05</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'20'!$H$6:$H$19</c:f>
              <c:numCache>
                <c:formatCode>0</c:formatCode>
                <c:ptCount val="14"/>
                <c:pt idx="0">
                  <c:v>170.12734792920389</c:v>
                </c:pt>
                <c:pt idx="1">
                  <c:v>174.38817529449634</c:v>
                </c:pt>
                <c:pt idx="2">
                  <c:v>182.74942056190335</c:v>
                </c:pt>
                <c:pt idx="3">
                  <c:v>199.60643765752232</c:v>
                </c:pt>
                <c:pt idx="4">
                  <c:v>197.54904988549347</c:v>
                </c:pt>
                <c:pt idx="5">
                  <c:v>183.22657214412229</c:v>
                </c:pt>
                <c:pt idx="6">
                  <c:v>214.90895754181034</c:v>
                </c:pt>
                <c:pt idx="7">
                  <c:v>204.93150175571432</c:v>
                </c:pt>
                <c:pt idx="11">
                  <c:v>170.59636438599611</c:v>
                </c:pt>
                <c:pt idx="12">
                  <c:v>179.06751708119464</c:v>
                </c:pt>
                <c:pt idx="13">
                  <c:v>189.30695667784781</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8 de marzo de 2021</a:t>
            </a:r>
          </a:p>
          <a:p>
            <a:pPr>
              <a:defRPr sz="900" b="1"/>
            </a:pPr>
            <a:r>
              <a:rPr lang="es-CL" sz="900" b="1"/>
              <a:t>(precios diarios en USD / tonelada)</a:t>
            </a:r>
          </a:p>
        </c:rich>
      </c:tx>
      <c:layout>
        <c:manualLayout>
          <c:xMode val="edge"/>
          <c:yMode val="edge"/>
          <c:x val="0.13639254938565956"/>
          <c:y val="4.9783545683779976E-2"/>
        </c:manualLayout>
      </c:layout>
      <c:overlay val="0"/>
      <c:spPr>
        <a:noFill/>
        <a:ln w="25400">
          <a:noFill/>
        </a:ln>
      </c:spPr>
    </c:title>
    <c:autoTitleDeleted val="0"/>
    <c:plotArea>
      <c:layout>
        <c:manualLayout>
          <c:layoutTarget val="inner"/>
          <c:xMode val="edge"/>
          <c:yMode val="edge"/>
          <c:x val="0.10766699075158299"/>
          <c:y val="0.2364722446337123"/>
          <c:w val="0.77851098657120998"/>
          <c:h val="0.46681366623400966"/>
        </c:manualLayout>
      </c:layout>
      <c:lineChart>
        <c:grouping val="standard"/>
        <c:varyColors val="0"/>
        <c:ser>
          <c:idx val="2"/>
          <c:order val="0"/>
          <c:tx>
            <c:strRef>
              <c:f>'21'!$U$1</c:f>
              <c:strCache>
                <c:ptCount val="1"/>
                <c:pt idx="0">
                  <c:v>mar-21</c:v>
                </c:pt>
              </c:strCache>
            </c:strRef>
          </c:tx>
          <c:marker>
            <c:symbol val="none"/>
          </c:marker>
          <c:cat>
            <c:numRef>
              <c:f>'21'!$L$2:$L$63</c:f>
              <c:numCache>
                <c:formatCode>dd/mm/yyyy;@</c:formatCode>
                <c:ptCount val="62"/>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pt idx="54">
                  <c:v>44215</c:v>
                </c:pt>
                <c:pt idx="55">
                  <c:v>44221</c:v>
                </c:pt>
                <c:pt idx="56">
                  <c:v>44228</c:v>
                </c:pt>
                <c:pt idx="57">
                  <c:v>44235</c:v>
                </c:pt>
                <c:pt idx="58">
                  <c:v>44243</c:v>
                </c:pt>
                <c:pt idx="59">
                  <c:v>44249</c:v>
                </c:pt>
                <c:pt idx="60">
                  <c:v>44256</c:v>
                </c:pt>
                <c:pt idx="61">
                  <c:v>44263</c:v>
                </c:pt>
              </c:numCache>
            </c:numRef>
          </c:cat>
          <c:val>
            <c:numRef>
              <c:f>'21'!$U$2:$U$63</c:f>
              <c:numCache>
                <c:formatCode>0</c:formatCode>
                <c:ptCount val="62"/>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8">
                  <c:v>185.46534</c:v>
                </c:pt>
                <c:pt idx="19">
                  <c:v>174.71771999999999</c:v>
                </c:pt>
                <c:pt idx="20">
                  <c:v>175.36073999999999</c:v>
                </c:pt>
                <c:pt idx="21">
                  <c:v>180.87234000000001</c:v>
                </c:pt>
                <c:pt idx="22">
                  <c:v>180.87234000000001</c:v>
                </c:pt>
                <c:pt idx="23">
                  <c:v>176.37119999999999</c:v>
                </c:pt>
                <c:pt idx="24">
                  <c:v>171.22703999999999</c:v>
                </c:pt>
                <c:pt idx="25">
                  <c:v>169.75728000000001</c:v>
                </c:pt>
                <c:pt idx="26">
                  <c:v>170.21657999999999</c:v>
                </c:pt>
                <c:pt idx="27">
                  <c:v>173.61539999999999</c:v>
                </c:pt>
                <c:pt idx="28">
                  <c:v>168.28752</c:v>
                </c:pt>
                <c:pt idx="29">
                  <c:v>169.66541999999998</c:v>
                </c:pt>
                <c:pt idx="30">
                  <c:v>166.26659999999998</c:v>
                </c:pt>
                <c:pt idx="31">
                  <c:v>160.57128</c:v>
                </c:pt>
                <c:pt idx="32">
                  <c:v>168.28752</c:v>
                </c:pt>
                <c:pt idx="33">
                  <c:v>167.73635999999999</c:v>
                </c:pt>
                <c:pt idx="34">
                  <c:v>178.6677</c:v>
                </c:pt>
                <c:pt idx="35">
                  <c:v>176.55491999999998</c:v>
                </c:pt>
                <c:pt idx="36">
                  <c:v>178.02467999999999</c:v>
                </c:pt>
                <c:pt idx="37">
                  <c:v>183.07697999999999</c:v>
                </c:pt>
                <c:pt idx="38">
                  <c:v>181.05606</c:v>
                </c:pt>
                <c:pt idx="39">
                  <c:v>195.84551999999999</c:v>
                </c:pt>
                <c:pt idx="40">
                  <c:v>198.23388</c:v>
                </c:pt>
                <c:pt idx="41">
                  <c:v>209.4408</c:v>
                </c:pt>
                <c:pt idx="42">
                  <c:v>205.58267999999998</c:v>
                </c:pt>
                <c:pt idx="43">
                  <c:v>205.03152</c:v>
                </c:pt>
                <c:pt idx="44">
                  <c:v>205.85826</c:v>
                </c:pt>
                <c:pt idx="45">
                  <c:v>208.24662000000001</c:v>
                </c:pt>
                <c:pt idx="46">
                  <c:v>205.95012</c:v>
                </c:pt>
                <c:pt idx="47">
                  <c:v>200.98967999999999</c:v>
                </c:pt>
                <c:pt idx="48">
                  <c:v>200.43851999999998</c:v>
                </c:pt>
                <c:pt idx="49">
                  <c:v>206.59314000000001</c:v>
                </c:pt>
                <c:pt idx="50">
                  <c:v>211.09428</c:v>
                </c:pt>
                <c:pt idx="51">
                  <c:v>212.01288</c:v>
                </c:pt>
                <c:pt idx="52">
                  <c:v>220.28028</c:v>
                </c:pt>
                <c:pt idx="53">
                  <c:v>218.25935999999999</c:v>
                </c:pt>
                <c:pt idx="54">
                  <c:v>236.63136</c:v>
                </c:pt>
                <c:pt idx="55">
                  <c:v>230.47674000000001</c:v>
                </c:pt>
                <c:pt idx="56">
                  <c:v>229.74186</c:v>
                </c:pt>
                <c:pt idx="57">
                  <c:v>234.97788</c:v>
                </c:pt>
                <c:pt idx="58">
                  <c:v>234.24299999999999</c:v>
                </c:pt>
                <c:pt idx="59">
                  <c:v>236.81507999999999</c:v>
                </c:pt>
                <c:pt idx="60">
                  <c:v>225.70001999999999</c:v>
                </c:pt>
                <c:pt idx="61">
                  <c:v>225.33258000000001</c:v>
                </c:pt>
              </c:numCache>
            </c:numRef>
          </c:val>
          <c:smooth val="0"/>
          <c:extLst>
            <c:ext xmlns:c16="http://schemas.microsoft.com/office/drawing/2014/chart" uri="{C3380CC4-5D6E-409C-BE32-E72D297353CC}">
              <c16:uniqueId val="{00000000-E14A-4CAB-A8D4-2ABA9753A607}"/>
            </c:ext>
          </c:extLst>
        </c:ser>
        <c:ser>
          <c:idx val="0"/>
          <c:order val="1"/>
          <c:tx>
            <c:strRef>
              <c:f>'21'!$Y$1</c:f>
              <c:strCache>
                <c:ptCount val="1"/>
                <c:pt idx="0">
                  <c:v>jul-21</c:v>
                </c:pt>
              </c:strCache>
            </c:strRef>
          </c:tx>
          <c:marker>
            <c:symbol val="none"/>
          </c:marker>
          <c:cat>
            <c:numRef>
              <c:f>'21'!$L$2:$L$63</c:f>
              <c:numCache>
                <c:formatCode>dd/mm/yyyy;@</c:formatCode>
                <c:ptCount val="62"/>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pt idx="49">
                  <c:v>44179</c:v>
                </c:pt>
                <c:pt idx="50">
                  <c:v>44186</c:v>
                </c:pt>
                <c:pt idx="51">
                  <c:v>44193</c:v>
                </c:pt>
                <c:pt idx="52">
                  <c:v>44200</c:v>
                </c:pt>
                <c:pt idx="53">
                  <c:v>44207</c:v>
                </c:pt>
                <c:pt idx="54">
                  <c:v>44215</c:v>
                </c:pt>
                <c:pt idx="55">
                  <c:v>44221</c:v>
                </c:pt>
                <c:pt idx="56">
                  <c:v>44228</c:v>
                </c:pt>
                <c:pt idx="57">
                  <c:v>44235</c:v>
                </c:pt>
                <c:pt idx="58">
                  <c:v>44243</c:v>
                </c:pt>
                <c:pt idx="59">
                  <c:v>44249</c:v>
                </c:pt>
                <c:pt idx="60">
                  <c:v>44256</c:v>
                </c:pt>
                <c:pt idx="61">
                  <c:v>44263</c:v>
                </c:pt>
              </c:numCache>
            </c:numRef>
          </c:cat>
          <c:val>
            <c:numRef>
              <c:f>'21'!$Y$2:$Y$63</c:f>
              <c:numCache>
                <c:formatCode>0</c:formatCode>
                <c:ptCount val="62"/>
                <c:pt idx="17">
                  <c:v>189.41532000000001</c:v>
                </c:pt>
                <c:pt idx="18">
                  <c:v>187.48625999999999</c:v>
                </c:pt>
                <c:pt idx="19">
                  <c:v>178.11653999999999</c:v>
                </c:pt>
                <c:pt idx="20">
                  <c:v>179.03513999999998</c:v>
                </c:pt>
                <c:pt idx="21">
                  <c:v>184.27115999999998</c:v>
                </c:pt>
                <c:pt idx="22">
                  <c:v>185.64905999999999</c:v>
                </c:pt>
                <c:pt idx="23">
                  <c:v>181.05606</c:v>
                </c:pt>
                <c:pt idx="24">
                  <c:v>176.09562</c:v>
                </c:pt>
                <c:pt idx="25">
                  <c:v>174.62585999999999</c:v>
                </c:pt>
                <c:pt idx="26">
                  <c:v>174.90144000000001</c:v>
                </c:pt>
                <c:pt idx="27">
                  <c:v>178.30026000000001</c:v>
                </c:pt>
                <c:pt idx="28">
                  <c:v>172.97237999999999</c:v>
                </c:pt>
                <c:pt idx="29">
                  <c:v>174.71771999999999</c:v>
                </c:pt>
                <c:pt idx="30">
                  <c:v>171.68634</c:v>
                </c:pt>
                <c:pt idx="31">
                  <c:v>166.7259</c:v>
                </c:pt>
                <c:pt idx="32">
                  <c:v>174.07470000000001</c:v>
                </c:pt>
                <c:pt idx="33">
                  <c:v>173.52354</c:v>
                </c:pt>
                <c:pt idx="34">
                  <c:v>183.81186</c:v>
                </c:pt>
                <c:pt idx="35">
                  <c:v>181.69907999999998</c:v>
                </c:pt>
                <c:pt idx="36">
                  <c:v>183.07697999999999</c:v>
                </c:pt>
                <c:pt idx="37">
                  <c:v>187.94556</c:v>
                </c:pt>
                <c:pt idx="38">
                  <c:v>186.38394</c:v>
                </c:pt>
                <c:pt idx="39">
                  <c:v>200.07107999999999</c:v>
                </c:pt>
                <c:pt idx="40">
                  <c:v>202.45944</c:v>
                </c:pt>
                <c:pt idx="41">
                  <c:v>212.74776</c:v>
                </c:pt>
                <c:pt idx="42">
                  <c:v>209.07335999999998</c:v>
                </c:pt>
                <c:pt idx="43">
                  <c:v>208.70591999999999</c:v>
                </c:pt>
                <c:pt idx="44">
                  <c:v>209.4408</c:v>
                </c:pt>
                <c:pt idx="45">
                  <c:v>211.82916</c:v>
                </c:pt>
                <c:pt idx="46">
                  <c:v>209.71637999999999</c:v>
                </c:pt>
                <c:pt idx="47">
                  <c:v>204.48035999999999</c:v>
                </c:pt>
                <c:pt idx="48">
                  <c:v>203.56175999999999</c:v>
                </c:pt>
                <c:pt idx="49">
                  <c:v>208.88963999999999</c:v>
                </c:pt>
                <c:pt idx="50">
                  <c:v>213.29891999999998</c:v>
                </c:pt>
                <c:pt idx="51">
                  <c:v>213.94193999999999</c:v>
                </c:pt>
                <c:pt idx="52">
                  <c:v>222.30119999999999</c:v>
                </c:pt>
                <c:pt idx="53">
                  <c:v>221.10702000000001</c:v>
                </c:pt>
                <c:pt idx="54">
                  <c:v>237.4581</c:v>
                </c:pt>
                <c:pt idx="55">
                  <c:v>231.21161999999998</c:v>
                </c:pt>
                <c:pt idx="56">
                  <c:v>230.66046</c:v>
                </c:pt>
                <c:pt idx="57">
                  <c:v>236.90693999999999</c:v>
                </c:pt>
                <c:pt idx="58">
                  <c:v>237.09065999999999</c:v>
                </c:pt>
                <c:pt idx="59">
                  <c:v>240.48947999999999</c:v>
                </c:pt>
                <c:pt idx="60">
                  <c:v>231.02789999999999</c:v>
                </c:pt>
                <c:pt idx="61">
                  <c:v>230.5686</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4985232259643068"/>
          <c:y val="0.8897347971249821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pt idx="2">
                  <c:v>1163.2</c:v>
                </c:pt>
                <c:pt idx="3">
                  <c:v>1171.03</c:v>
                </c:pt>
                <c:pt idx="4">
                  <c:v>1162.3800000000001</c:v>
                </c:pt>
                <c:pt idx="5">
                  <c:v>1158.82</c:v>
                </c:pt>
                <c:pt idx="6">
                  <c:v>1144.6300000000001</c:v>
                </c:pt>
                <c:pt idx="7">
                  <c:v>1144.56</c:v>
                </c:pt>
                <c:pt idx="8">
                  <c:v>1133.8900000000001</c:v>
                </c:pt>
                <c:pt idx="9">
                  <c:v>1134.05</c:v>
                </c:pt>
                <c:pt idx="10">
                  <c:v>1136.31</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pt idx="2">
                  <c:v>1160.0999999999999</c:v>
                </c:pt>
                <c:pt idx="3">
                  <c:v>1164.8699999999999</c:v>
                </c:pt>
                <c:pt idx="4">
                  <c:v>1164.74</c:v>
                </c:pt>
                <c:pt idx="5">
                  <c:v>1162.5999999999999</c:v>
                </c:pt>
                <c:pt idx="6">
                  <c:v>1156.54</c:v>
                </c:pt>
                <c:pt idx="7">
                  <c:v>1158.01</c:v>
                </c:pt>
                <c:pt idx="8">
                  <c:v>1153.06</c:v>
                </c:pt>
                <c:pt idx="9">
                  <c:v>1150.52</c:v>
                </c:pt>
                <c:pt idx="10">
                  <c:v>1151.77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marzo 2021 (millones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1124.99</c:v>
                </c:pt>
                <c:pt idx="8">
                  <c:v>1116.53</c:v>
                </c:pt>
                <c:pt idx="9">
                  <c:v>1136.31</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1144.8399999999999</c:v>
                </c:pt>
                <c:pt idx="8">
                  <c:v>1134.6199999999999</c:v>
                </c:pt>
                <c:pt idx="9">
                  <c:v>1151.77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0.2805719576534712</c:v>
                </c:pt>
                <c:pt idx="8">
                  <c:v>0.26716433695862934</c:v>
                </c:pt>
                <c:pt idx="9">
                  <c:v>0.2631862264167325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'35'!$C$7:$C$17</c:f>
              <c:numCache>
                <c:formatCode>#,##0_);\(#,##0\)</c:formatCode>
                <c:ptCount val="11"/>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'35'!$E$7:$E$17</c:f>
              <c:numCache>
                <c:formatCode>#,##0_);\(#,##0\)</c:formatCode>
                <c:ptCount val="11"/>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'35'!$G$7:$G$17</c:f>
              <c:numCache>
                <c:formatCode>#,##0_);\(#,##0\)</c:formatCode>
                <c:ptCount val="11"/>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formatCode="#,##0_);\(#,##0\)">
                  <c:v>3353890.5392800001</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2017</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2020</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2021</c:v>
                </c:pt>
              </c:strCache>
            </c:strRef>
          </c:tx>
          <c:invertIfNegative val="0"/>
          <c:val>
            <c:numRef>
              <c:f>'36'!$G$7:$G$18</c:f>
              <c:numCache>
                <c:formatCode>#,##0</c:formatCode>
                <c:ptCount val="12"/>
                <c:pt idx="0">
                  <c:v>169319.18</c:v>
                </c:pt>
                <c:pt idx="1">
                  <c:v>228791</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2021   (%)</a:t>
            </a:r>
          </a:p>
        </c:rich>
      </c:tx>
      <c:layout>
        <c:manualLayout>
          <c:xMode val="edge"/>
          <c:yMode val="edge"/>
          <c:x val="0.25397963009725827"/>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0.13482365724692569"/>
                  <c:y val="0.31746031746031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0.10721119043792995"/>
                  <c:y val="0.274058742657167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5.8116232464929862E-2"/>
                  <c:y val="-5.07936507936509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0.27668118219165277</c:v>
                </c:pt>
                <c:pt idx="1">
                  <c:v>0.30179433557633467</c:v>
                </c:pt>
                <c:pt idx="2">
                  <c:v>0.42067357834430014</c:v>
                </c:pt>
                <c:pt idx="3">
                  <c:v>8.5090388771236203E-4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2021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731</c:v>
                </c:pt>
                <c:pt idx="8">
                  <c:v>763.92</c:v>
                </c:pt>
                <c:pt idx="9">
                  <c:v>776.78</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734.7</c:v>
                </c:pt>
                <c:pt idx="8">
                  <c:v>746.9</c:v>
                </c:pt>
                <c:pt idx="9">
                  <c:v>775.89</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0.40204846699692065</c:v>
                </c:pt>
                <c:pt idx="9">
                  <c:v>0.38818646973153409</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2016 - 2021</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2020</c:v>
                </c:pt>
              </c:strCache>
            </c:strRef>
          </c:tx>
          <c:invertIfNegative val="0"/>
          <c:val>
            <c:numRef>
              <c:f>'38'!$D$12:$F$12</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2021*</c:v>
                </c:pt>
              </c:strCache>
            </c:strRef>
          </c:tx>
          <c:invertIfNegative val="0"/>
          <c:val>
            <c:numRef>
              <c:f>'38'!$D$13:$F$13</c:f>
              <c:numCache>
                <c:formatCode>#,##0</c:formatCode>
                <c:ptCount val="3"/>
                <c:pt idx="0">
                  <c:v>15065.2608</c:v>
                </c:pt>
                <c:pt idx="1">
                  <c:v>7707.89012</c:v>
                </c:pt>
                <c:pt idx="2">
                  <c:v>9619.0177899999999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2016</c:v>
                </c:pt>
                <c:pt idx="1">
                  <c:v>2017</c:v>
                </c:pt>
                <c:pt idx="2">
                  <c:v>2018</c:v>
                </c:pt>
                <c:pt idx="3">
                  <c:v>2019</c:v>
                </c:pt>
                <c:pt idx="4">
                  <c:v>2020</c:v>
                </c:pt>
                <c:pt idx="5">
                  <c:v>2021*</c:v>
                </c:pt>
              </c:strCache>
            </c:strRef>
          </c:cat>
          <c:val>
            <c:numRef>
              <c:f>'39'!$E$8:$E$13</c:f>
              <c:numCache>
                <c:formatCode>#,##0</c:formatCode>
                <c:ptCount val="6"/>
                <c:pt idx="0">
                  <c:v>207</c:v>
                </c:pt>
                <c:pt idx="1">
                  <c:v>287</c:v>
                </c:pt>
                <c:pt idx="2">
                  <c:v>342.94811407654373</c:v>
                </c:pt>
                <c:pt idx="3" formatCode="0">
                  <c:v>345.8535247035349</c:v>
                </c:pt>
                <c:pt idx="4" formatCode="0">
                  <c:v>257.31901991061619</c:v>
                </c:pt>
                <c:pt idx="5" formatCode="0">
                  <c:v>266.1482851461289</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2016</c:v>
                </c:pt>
                <c:pt idx="1">
                  <c:v>2017</c:v>
                </c:pt>
                <c:pt idx="2">
                  <c:v>2018</c:v>
                </c:pt>
                <c:pt idx="3">
                  <c:v>2019</c:v>
                </c:pt>
                <c:pt idx="4">
                  <c:v>2020</c:v>
                </c:pt>
                <c:pt idx="5">
                  <c:v>2021*</c:v>
                </c:pt>
              </c:strCache>
            </c:strRef>
          </c:cat>
          <c:val>
            <c:numRef>
              <c:f>'39'!$F$8:$F$13</c:f>
              <c:numCache>
                <c:formatCode>#,##0</c:formatCode>
                <c:ptCount val="6"/>
                <c:pt idx="0">
                  <c:v>186</c:v>
                </c:pt>
                <c:pt idx="1">
                  <c:v>178</c:v>
                </c:pt>
                <c:pt idx="2">
                  <c:v>169.25566820801745</c:v>
                </c:pt>
                <c:pt idx="3" formatCode="0">
                  <c:v>207.776432</c:v>
                </c:pt>
                <c:pt idx="4" formatCode="0">
                  <c:v>200.62101157614845</c:v>
                </c:pt>
                <c:pt idx="5" formatCode="0">
                  <c:v>224.55381422945428</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2016</c:v>
                </c:pt>
                <c:pt idx="1">
                  <c:v>2017</c:v>
                </c:pt>
                <c:pt idx="2">
                  <c:v>2018</c:v>
                </c:pt>
                <c:pt idx="3">
                  <c:v>2019</c:v>
                </c:pt>
                <c:pt idx="4">
                  <c:v>2020</c:v>
                </c:pt>
                <c:pt idx="5">
                  <c:v>2021*</c:v>
                </c:pt>
              </c:strCache>
            </c:strRef>
          </c:cat>
          <c:val>
            <c:numRef>
              <c:f>'39'!$G$8:$G$13</c:f>
              <c:numCache>
                <c:formatCode>#,##0</c:formatCode>
                <c:ptCount val="6"/>
                <c:pt idx="0">
                  <c:v>356</c:v>
                </c:pt>
                <c:pt idx="1">
                  <c:v>351</c:v>
                </c:pt>
                <c:pt idx="2">
                  <c:v>399.55360741689088</c:v>
                </c:pt>
                <c:pt idx="3" formatCode="0">
                  <c:v>393.02788645411334</c:v>
                </c:pt>
                <c:pt idx="4" formatCode="0">
                  <c:v>382.46888508762504</c:v>
                </c:pt>
                <c:pt idx="5" formatCode="0">
                  <c:v>496.7190129790983</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2016</c:v>
                      </c:pt>
                      <c:pt idx="1">
                        <c:v>2017</c:v>
                      </c:pt>
                      <c:pt idx="2">
                        <c:v>2018</c:v>
                      </c:pt>
                      <c:pt idx="3">
                        <c:v>2019</c:v>
                      </c:pt>
                      <c:pt idx="4">
                        <c:v>2020</c:v>
                      </c:pt>
                      <c:pt idx="5">
                        <c:v>2021*</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2017 - 2021</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2018</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2019</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2020</c:v>
                </c:pt>
              </c:strCache>
            </c:strRef>
          </c:tx>
          <c:val>
            <c:numRef>
              <c:f>'40'!$F$7:$F$18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2021</c:v>
                </c:pt>
              </c:strCache>
            </c:strRef>
          </c:tx>
          <c:val>
            <c:numRef>
              <c:f>'40'!$G$7:$G$17</c:f>
              <c:numCache>
                <c:formatCode>#,##0_ ;\-#,##0\ </c:formatCode>
                <c:ptCount val="11"/>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2017</c:v>
                </c:pt>
              </c:strCache>
            </c:strRef>
          </c:tx>
          <c:val>
            <c:numRef>
              <c:f>'40'!$C$7:$C$18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95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'42'!$B$6:$B$19</c:f>
              <c:numCache>
                <c:formatCode>mmm/yyyy;@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'42'!$C$6:$C$19</c:f>
              <c:numCache>
                <c:formatCode>_-* #,##0_-;\-* #,##0_-;_-* \-_-;_-@_-</c:formatCode>
                <c:ptCount val="14"/>
                <c:pt idx="0">
                  <c:v>142484.38649999999</c:v>
                </c:pt>
                <c:pt idx="1">
                  <c:v>142241.43180000002</c:v>
                </c:pt>
                <c:pt idx="2">
                  <c:v>142089.32519999999</c:v>
                </c:pt>
                <c:pt idx="3">
                  <c:v>134322.01200000002</c:v>
                </c:pt>
                <c:pt idx="4">
                  <c:v>119721.28079999999</c:v>
                </c:pt>
                <c:pt idx="5">
                  <c:v>117700.73879999999</c:v>
                </c:pt>
                <c:pt idx="6">
                  <c:v>121295.71609999999</c:v>
                </c:pt>
                <c:pt idx="7">
                  <c:v>129115.803</c:v>
                </c:pt>
                <c:pt idx="8">
                  <c:v>143643.58199999999</c:v>
                </c:pt>
                <c:pt idx="9">
                  <c:v>171243.77480000001</c:v>
                </c:pt>
                <c:pt idx="10">
                  <c:v>172525.31200000001</c:v>
                </c:pt>
                <c:pt idx="11">
                  <c:v>170023.86929999999</c:v>
                </c:pt>
                <c:pt idx="12">
                  <c:v>184869.58</c:v>
                </c:pt>
                <c:pt idx="13">
                  <c:v>179089.39290000001</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'42'!$B$6:$B$19</c:f>
              <c:numCache>
                <c:formatCode>mmm/yyyy;@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'42'!$D$6:$D$19</c:f>
              <c:numCache>
                <c:formatCode>_-* #,##0_-;\-* #,##0_-;_-* \-_-;_-@_-</c:formatCode>
                <c:ptCount val="14"/>
                <c:pt idx="0">
                  <c:v>137493.06749999998</c:v>
                </c:pt>
                <c:pt idx="1">
                  <c:v>141293.7396</c:v>
                </c:pt>
                <c:pt idx="2">
                  <c:v>143433.27720000001</c:v>
                </c:pt>
                <c:pt idx="3">
                  <c:v>132828.59700000001</c:v>
                </c:pt>
                <c:pt idx="4">
                  <c:v>124676.7951</c:v>
                </c:pt>
                <c:pt idx="5">
                  <c:v>128741.38399999998</c:v>
                </c:pt>
                <c:pt idx="6">
                  <c:v>132737.07950000002</c:v>
                </c:pt>
                <c:pt idx="7">
                  <c:v>131226.53839999999</c:v>
                </c:pt>
                <c:pt idx="8">
                  <c:v>146783.58599999998</c:v>
                </c:pt>
                <c:pt idx="9">
                  <c:v>173301.15949999998</c:v>
                </c:pt>
                <c:pt idx="10">
                  <c:v>171190.272</c:v>
                </c:pt>
                <c:pt idx="11">
                  <c:v>163190.88030000002</c:v>
                </c:pt>
                <c:pt idx="12">
                  <c:v>177879.99039999998</c:v>
                </c:pt>
                <c:pt idx="13">
                  <c:v>182803.71109999999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'42'!$B$6:$B$19</c:f>
              <c:numCache>
                <c:formatCode>mmm/yyyy;@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'42'!$E$6:$E$19</c:f>
              <c:numCache>
                <c:formatCode>_-* #,##0_-;\-* #,##0_-;_-* \-_-;_-@_-</c:formatCode>
                <c:ptCount val="14"/>
                <c:pt idx="0">
                  <c:v>146666.66666666666</c:v>
                </c:pt>
                <c:pt idx="1">
                  <c:v>146666.66666666666</c:v>
                </c:pt>
                <c:pt idx="2">
                  <c:v>156580.64516129033</c:v>
                </c:pt>
                <c:pt idx="3">
                  <c:v>166303.27868852459</c:v>
                </c:pt>
                <c:pt idx="4">
                  <c:v>160080.64516129033</c:v>
                </c:pt>
                <c:pt idx="5">
                  <c:v>159000</c:v>
                </c:pt>
                <c:pt idx="6">
                  <c:v>155000</c:v>
                </c:pt>
                <c:pt idx="7">
                  <c:v>155000</c:v>
                </c:pt>
                <c:pt idx="8">
                  <c:v>164750</c:v>
                </c:pt>
                <c:pt idx="9">
                  <c:v>180000</c:v>
                </c:pt>
                <c:pt idx="10">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'42'!$B$6:$B$19</c:f>
              <c:numCache>
                <c:formatCode>mmm/yyyy;@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'42'!$F$6:$F$19</c:f>
              <c:numCache>
                <c:formatCode>_-* #,##0_-;\-* #,##0_-;_-* \-_-;_-@_-</c:formatCode>
                <c:ptCount val="14"/>
                <c:pt idx="0">
                  <c:v>174650.74169032258</c:v>
                </c:pt>
                <c:pt idx="1">
                  <c:v>187455.25216551725</c:v>
                </c:pt>
                <c:pt idx="2">
                  <c:v>175895.40927741936</c:v>
                </c:pt>
                <c:pt idx="3">
                  <c:v>172363.76914687501</c:v>
                </c:pt>
                <c:pt idx="4">
                  <c:v>153510.18252903226</c:v>
                </c:pt>
                <c:pt idx="5">
                  <c:v>152317.14478333329</c:v>
                </c:pt>
                <c:pt idx="6">
                  <c:v>149744.12340967744</c:v>
                </c:pt>
                <c:pt idx="7">
                  <c:v>157013.88582</c:v>
                </c:pt>
                <c:pt idx="8">
                  <c:v>173315.73579666668</c:v>
                </c:pt>
                <c:pt idx="9">
                  <c:v>205230.40207419355</c:v>
                </c:pt>
                <c:pt idx="10">
                  <c:v>206265.50704137929</c:v>
                </c:pt>
                <c:pt idx="11">
                  <c:v>200624.818845</c:v>
                </c:pt>
                <c:pt idx="12">
                  <c:v>211783.83736774194</c:v>
                </c:pt>
                <c:pt idx="13">
                  <c:v>207290.11847500002</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'42'!$B$6:$B$19</c:f>
              <c:numCache>
                <c:formatCode>mmm/yyyy;@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'42'!$G$6:$G$19</c:f>
              <c:numCache>
                <c:formatCode>_-* #,##0_-;\-* #,##0_-;_-* \-_-;_-@_-</c:formatCode>
                <c:ptCount val="14"/>
                <c:pt idx="0">
                  <c:v>173514.60470967743</c:v>
                </c:pt>
                <c:pt idx="1">
                  <c:v>188880.85677931036</c:v>
                </c:pt>
                <c:pt idx="2">
                  <c:v>180682.82270967742</c:v>
                </c:pt>
                <c:pt idx="3">
                  <c:v>175581.44557500002</c:v>
                </c:pt>
                <c:pt idx="4">
                  <c:v>160587.52860645161</c:v>
                </c:pt>
                <c:pt idx="5">
                  <c:v>163270.25143</c:v>
                </c:pt>
                <c:pt idx="6">
                  <c:v>165458.28597741938</c:v>
                </c:pt>
                <c:pt idx="7">
                  <c:v>163051.42805333337</c:v>
                </c:pt>
                <c:pt idx="8">
                  <c:v>178414.08376666668</c:v>
                </c:pt>
                <c:pt idx="9">
                  <c:v>200871.30410000001</c:v>
                </c:pt>
                <c:pt idx="10">
                  <c:v>202542.91190689654</c:v>
                </c:pt>
                <c:pt idx="11">
                  <c:v>199061.72261499998</c:v>
                </c:pt>
                <c:pt idx="12">
                  <c:v>204608.6494516129</c:v>
                </c:pt>
                <c:pt idx="13">
                  <c:v>210700.34007499999</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220000"/>
          <c:min val="1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8 de marzo de 2021</a:t>
            </a:r>
          </a:p>
          <a:p>
            <a:pPr algn="ct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'43'!$O$1</c:f>
              <c:strCache>
                <c:ptCount val="1"/>
                <c:pt idx="0">
                  <c:v>mar-21</c:v>
                </c:pt>
              </c:strCache>
            </c:strRef>
          </c:tx>
          <c:spPr>
            <a:ln w="28575" cap="rnd">
              <a:solidFill>
                <a:schemeClr val="accent2"/>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'43'!$O$10:$O$63</c:f>
              <c:numCache>
                <c:formatCode>0</c:formatCode>
                <c:ptCount val="54"/>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pt idx="16">
                  <c:v>139.16587999999999</c:v>
                </c:pt>
                <c:pt idx="17">
                  <c:v>136.01643999999999</c:v>
                </c:pt>
                <c:pt idx="18">
                  <c:v>144.67739999999998</c:v>
                </c:pt>
                <c:pt idx="19">
                  <c:v>136.8038</c:v>
                </c:pt>
                <c:pt idx="20">
                  <c:v>136.3117</c:v>
                </c:pt>
                <c:pt idx="21">
                  <c:v>136.01643999999999</c:v>
                </c:pt>
                <c:pt idx="22">
                  <c:v>133.94961999999998</c:v>
                </c:pt>
                <c:pt idx="23">
                  <c:v>131.78438</c:v>
                </c:pt>
                <c:pt idx="24">
                  <c:v>140.44533999999999</c:v>
                </c:pt>
                <c:pt idx="25">
                  <c:v>140.54375999999999</c:v>
                </c:pt>
                <c:pt idx="26">
                  <c:v>144.67739999999998</c:v>
                </c:pt>
                <c:pt idx="27">
                  <c:v>146.44896</c:v>
                </c:pt>
                <c:pt idx="28">
                  <c:v>149.20471999999998</c:v>
                </c:pt>
                <c:pt idx="29">
                  <c:v>149.30313999999998</c:v>
                </c:pt>
                <c:pt idx="30">
                  <c:v>147.82684</c:v>
                </c:pt>
                <c:pt idx="31">
                  <c:v>153.23993999999999</c:v>
                </c:pt>
                <c:pt idx="32">
                  <c:v>156.19253999999998</c:v>
                </c:pt>
                <c:pt idx="33">
                  <c:v>161.60563999999999</c:v>
                </c:pt>
                <c:pt idx="34">
                  <c:v>164.75507999999999</c:v>
                </c:pt>
                <c:pt idx="35">
                  <c:v>158.16093999999998</c:v>
                </c:pt>
                <c:pt idx="36">
                  <c:v>163.47561999999999</c:v>
                </c:pt>
                <c:pt idx="37">
                  <c:v>167.01873999999998</c:v>
                </c:pt>
                <c:pt idx="38">
                  <c:v>170.56186</c:v>
                </c:pt>
                <c:pt idx="39">
                  <c:v>167.70767999999998</c:v>
                </c:pt>
                <c:pt idx="40">
                  <c:v>166.92031999999998</c:v>
                </c:pt>
                <c:pt idx="41">
                  <c:v>166.92031999999998</c:v>
                </c:pt>
                <c:pt idx="42">
                  <c:v>173.2192</c:v>
                </c:pt>
                <c:pt idx="43">
                  <c:v>179.71491999999998</c:v>
                </c:pt>
                <c:pt idx="44">
                  <c:v>190.44269999999997</c:v>
                </c:pt>
                <c:pt idx="45">
                  <c:v>193.78897999999998</c:v>
                </c:pt>
                <c:pt idx="46">
                  <c:v>207.07567999999998</c:v>
                </c:pt>
                <c:pt idx="47">
                  <c:v>201.36731999999998</c:v>
                </c:pt>
                <c:pt idx="48">
                  <c:v>216.22873999999999</c:v>
                </c:pt>
                <c:pt idx="49">
                  <c:v>221.93709999999999</c:v>
                </c:pt>
                <c:pt idx="50">
                  <c:v>217.40977999999998</c:v>
                </c:pt>
                <c:pt idx="51">
                  <c:v>216.91767999999999</c:v>
                </c:pt>
                <c:pt idx="52">
                  <c:v>215.53979999999999</c:v>
                </c:pt>
                <c:pt idx="53">
                  <c:v>222.42919999999998</c:v>
                </c:pt>
              </c:numCache>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'43'!$J$10:$J$37</c:f>
            </c:numRef>
          </c:val>
          <c:smooth val="0"/>
          <c:extLst>
            <c:ext xmlns:c16="http://schemas.microsoft.com/office/drawing/2014/chart" uri="{C3380CC4-5D6E-409C-BE32-E72D297353CC}">
              <c16:uniqueId val="{00000000-5C3E-4D60-8126-4A5F824665A5}"/>
            </c:ext>
          </c:extLst>
        </c:ser>
        <c:ser>
          <c:idx val="0"/>
          <c:order val="2"/>
          <c:tx>
            <c:strRef>
              <c:f>'43'!$V$1</c:f>
              <c:strCache>
                <c:ptCount val="1"/>
                <c:pt idx="0">
                  <c:v>dic-21</c:v>
                </c:pt>
              </c:strCache>
            </c:strRef>
          </c:tx>
          <c:spPr>
            <a:ln w="28575" cap="rnd">
              <a:solidFill>
                <a:schemeClr val="accent1"/>
              </a:solidFill>
              <a:round/>
            </a:ln>
            <a:effectLst/>
          </c:spPr>
          <c:marker>
            <c:symbol val="none"/>
          </c:marker>
          <c:cat>
            <c:numRef>
              <c:f>'43'!$G$10:$N$63</c:f>
              <c:numCache>
                <c:formatCode>m/d/yyyy</c:formatCode>
                <c:ptCount val="5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44215</c:v>
                </c:pt>
                <c:pt idx="47">
                  <c:v>44221</c:v>
                </c:pt>
                <c:pt idx="48">
                  <c:v>44228</c:v>
                </c:pt>
                <c:pt idx="49">
                  <c:v>44235</c:v>
                </c:pt>
                <c:pt idx="50">
                  <c:v>44243</c:v>
                </c:pt>
                <c:pt idx="51">
                  <c:v>44249</c:v>
                </c:pt>
                <c:pt idx="52">
                  <c:v>44256</c:v>
                </c:pt>
                <c:pt idx="53">
                  <c:v>44263</c:v>
                </c:pt>
              </c:numCache>
            </c:numRef>
          </c:cat>
          <c:val>
            <c:numRef>
              <c:f>'43'!$V$10:$V$63</c:f>
              <c:numCache>
                <c:formatCode>General</c:formatCode>
                <c:ptCount val="54"/>
                <c:pt idx="5" formatCode="0">
                  <c:v>144.87423999999999</c:v>
                </c:pt>
                <c:pt idx="6" formatCode="0">
                  <c:v>147.33473999999998</c:v>
                </c:pt>
                <c:pt idx="7" formatCode="0">
                  <c:v>143.79161999999999</c:v>
                </c:pt>
                <c:pt idx="8" formatCode="0">
                  <c:v>141.03585999999999</c:v>
                </c:pt>
                <c:pt idx="9" formatCode="0">
                  <c:v>144.18529999999998</c:v>
                </c:pt>
                <c:pt idx="10" formatCode="0">
                  <c:v>143.49635999999998</c:v>
                </c:pt>
                <c:pt idx="11" formatCode="0">
                  <c:v>143.00425999999999</c:v>
                </c:pt>
                <c:pt idx="12" formatCode="0">
                  <c:v>143.79161999999999</c:v>
                </c:pt>
                <c:pt idx="13" formatCode="0">
                  <c:v>143.79161999999999</c:v>
                </c:pt>
                <c:pt idx="14" formatCode="0">
                  <c:v>148.61419999999998</c:v>
                </c:pt>
                <c:pt idx="15" formatCode="0">
                  <c:v>146.44896</c:v>
                </c:pt>
                <c:pt idx="16" formatCode="0">
                  <c:v>146.54738</c:v>
                </c:pt>
                <c:pt idx="17" formatCode="0">
                  <c:v>144.28371999999999</c:v>
                </c:pt>
                <c:pt idx="18" formatCode="0">
                  <c:v>147.72842</c:v>
                </c:pt>
                <c:pt idx="19" formatCode="0">
                  <c:v>144.18529999999998</c:v>
                </c:pt>
                <c:pt idx="20" formatCode="0">
                  <c:v>144.08687999999998</c:v>
                </c:pt>
                <c:pt idx="21" formatCode="0">
                  <c:v>144.38213999999999</c:v>
                </c:pt>
                <c:pt idx="22" formatCode="0">
                  <c:v>142.709</c:v>
                </c:pt>
                <c:pt idx="23" formatCode="0">
                  <c:v>142.41373999999999</c:v>
                </c:pt>
                <c:pt idx="24" formatCode="0">
                  <c:v>148.31894</c:v>
                </c:pt>
                <c:pt idx="25" formatCode="0">
                  <c:v>148.31894</c:v>
                </c:pt>
                <c:pt idx="26" formatCode="0">
                  <c:v>149.69682</c:v>
                </c:pt>
                <c:pt idx="27" formatCode="0">
                  <c:v>151.96047999999999</c:v>
                </c:pt>
                <c:pt idx="28" formatCode="0">
                  <c:v>153.33835999999999</c:v>
                </c:pt>
                <c:pt idx="29" formatCode="0">
                  <c:v>152.84626</c:v>
                </c:pt>
                <c:pt idx="30" formatCode="0">
                  <c:v>151.36995999999999</c:v>
                </c:pt>
                <c:pt idx="31" formatCode="0">
                  <c:v>154.12572</c:v>
                </c:pt>
                <c:pt idx="32" formatCode="0">
                  <c:v>154.61781999999999</c:v>
                </c:pt>
                <c:pt idx="33" formatCode="0">
                  <c:v>156.68464</c:v>
                </c:pt>
                <c:pt idx="34" formatCode="0">
                  <c:v>154.42097999999999</c:v>
                </c:pt>
                <c:pt idx="35" formatCode="0">
                  <c:v>152.55099999999999</c:v>
                </c:pt>
                <c:pt idx="36" formatCode="0">
                  <c:v>156.48779999999999</c:v>
                </c:pt>
                <c:pt idx="37" formatCode="0">
                  <c:v>160.32617999999999</c:v>
                </c:pt>
                <c:pt idx="38" formatCode="0">
                  <c:v>161.80248</c:v>
                </c:pt>
                <c:pt idx="39" formatCode="0">
                  <c:v>160.62143999999998</c:v>
                </c:pt>
                <c:pt idx="40" formatCode="0">
                  <c:v>161.80248</c:v>
                </c:pt>
                <c:pt idx="41" formatCode="0">
                  <c:v>162.09773999999999</c:v>
                </c:pt>
                <c:pt idx="42" formatCode="0">
                  <c:v>165.34559999999999</c:v>
                </c:pt>
                <c:pt idx="43" formatCode="0">
                  <c:v>168.00294</c:v>
                </c:pt>
                <c:pt idx="44" formatCode="0">
                  <c:v>171.05395999999999</c:v>
                </c:pt>
                <c:pt idx="45" formatCode="0">
                  <c:v>173.51445999999999</c:v>
                </c:pt>
                <c:pt idx="46" formatCode="0">
                  <c:v>179.12439999999998</c:v>
                </c:pt>
                <c:pt idx="47" formatCode="0">
                  <c:v>171.15237999999999</c:v>
                </c:pt>
                <c:pt idx="48" formatCode="0">
                  <c:v>176.27021999999999</c:v>
                </c:pt>
                <c:pt idx="49" formatCode="0">
                  <c:v>180.40385999999998</c:v>
                </c:pt>
                <c:pt idx="50" formatCode="0">
                  <c:v>180.20702</c:v>
                </c:pt>
                <c:pt idx="51" formatCode="0">
                  <c:v>184.93117999999998</c:v>
                </c:pt>
                <c:pt idx="52" formatCode="0">
                  <c:v>184.53749999999999</c:v>
                </c:pt>
                <c:pt idx="53" formatCode="0">
                  <c:v>189.55691999999999</c:v>
                </c:pt>
              </c:numCache>
            </c:numRef>
          </c:val>
          <c:smooth val="0"/>
          <c:extLst>
            <c:ext xmlns:c16="http://schemas.microsoft.com/office/drawing/2014/chart" uri="{C3380CC4-5D6E-409C-BE32-E72D297353CC}">
              <c16:uniqueId val="{00000000-2527-4F51-A047-231FC99E0CD3}"/>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225"/>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90297841552455138"/>
          <c:w val="0.70344402302359876"/>
          <c:h val="7.4923565447163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43952</c:v>
                </c:pt>
                <c:pt idx="1">
                  <c:v>43983</c:v>
                </c:pt>
                <c:pt idx="2">
                  <c:v>44013</c:v>
                </c:pt>
                <c:pt idx="3">
                  <c:v>44044</c:v>
                </c:pt>
                <c:pt idx="4">
                  <c:v>44075</c:v>
                </c:pt>
                <c:pt idx="5">
                  <c:v>44105</c:v>
                </c:pt>
                <c:pt idx="6">
                  <c:v>44136</c:v>
                </c:pt>
                <c:pt idx="7">
                  <c:v>44166</c:v>
                </c:pt>
                <c:pt idx="8">
                  <c:v>44197</c:v>
                </c:pt>
                <c:pt idx="9">
                  <c:v>44228</c:v>
                </c:pt>
                <c:pt idx="10">
                  <c:v>44256</c:v>
                </c:pt>
              </c:numCache>
            </c:numRef>
          </c:cat>
          <c:val>
            <c:numRef>
              <c:f>'44'!$D$6:$D$16</c:f>
              <c:numCache>
                <c:formatCode>#,##0</c:formatCode>
                <c:ptCount val="11"/>
                <c:pt idx="0">
                  <c:v>501.96</c:v>
                </c:pt>
                <c:pt idx="1">
                  <c:v>502.09</c:v>
                </c:pt>
                <c:pt idx="2">
                  <c:v>502.63</c:v>
                </c:pt>
                <c:pt idx="3">
                  <c:v>500.05</c:v>
                </c:pt>
                <c:pt idx="4">
                  <c:v>499.58</c:v>
                </c:pt>
                <c:pt idx="5">
                  <c:v>501.47</c:v>
                </c:pt>
                <c:pt idx="6">
                  <c:v>501.11</c:v>
                </c:pt>
                <c:pt idx="7" formatCode="0">
                  <c:v>501.2</c:v>
                </c:pt>
                <c:pt idx="8" formatCode="0">
                  <c:v>503.17</c:v>
                </c:pt>
                <c:pt idx="9" formatCode="0">
                  <c:v>504.02</c:v>
                </c:pt>
                <c:pt idx="10" formatCode="0">
                  <c:v>504.41</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43952</c:v>
                </c:pt>
                <c:pt idx="1">
                  <c:v>43983</c:v>
                </c:pt>
                <c:pt idx="2">
                  <c:v>44013</c:v>
                </c:pt>
                <c:pt idx="3">
                  <c:v>44044</c:v>
                </c:pt>
                <c:pt idx="4">
                  <c:v>44075</c:v>
                </c:pt>
                <c:pt idx="5">
                  <c:v>44105</c:v>
                </c:pt>
                <c:pt idx="6">
                  <c:v>44136</c:v>
                </c:pt>
                <c:pt idx="7">
                  <c:v>44166</c:v>
                </c:pt>
                <c:pt idx="8">
                  <c:v>44197</c:v>
                </c:pt>
                <c:pt idx="9">
                  <c:v>44228</c:v>
                </c:pt>
                <c:pt idx="10">
                  <c:v>44256</c:v>
                </c:pt>
              </c:numCache>
            </c:numRef>
          </c:cat>
          <c:val>
            <c:numRef>
              <c:f>'44'!$E$6:$E$17</c:f>
              <c:numCache>
                <c:formatCode>#,##0</c:formatCode>
                <c:ptCount val="12"/>
                <c:pt idx="0">
                  <c:v>498.12</c:v>
                </c:pt>
                <c:pt idx="1">
                  <c:v>497.99</c:v>
                </c:pt>
                <c:pt idx="2">
                  <c:v>498.47</c:v>
                </c:pt>
                <c:pt idx="3">
                  <c:v>496.53</c:v>
                </c:pt>
                <c:pt idx="4">
                  <c:v>496.42</c:v>
                </c:pt>
                <c:pt idx="5">
                  <c:v>499.44</c:v>
                </c:pt>
                <c:pt idx="6">
                  <c:v>499.24</c:v>
                </c:pt>
                <c:pt idx="7" formatCode="0">
                  <c:v>500.44</c:v>
                </c:pt>
                <c:pt idx="8" formatCode="0">
                  <c:v>501.97</c:v>
                </c:pt>
                <c:pt idx="9" formatCode="0">
                  <c:v>504.21</c:v>
                </c:pt>
                <c:pt idx="10" formatCode="0">
                  <c:v>504.69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de 2021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497.34</c:v>
                </c:pt>
                <c:pt idx="7">
                  <c:v>497.71</c:v>
                </c:pt>
                <c:pt idx="8">
                  <c:v>504.41</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484.64</c:v>
                </c:pt>
                <c:pt idx="7">
                  <c:v>496.33</c:v>
                </c:pt>
                <c:pt idx="8">
                  <c:v>504.69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0.36466242984483327</c:v>
                </c:pt>
                <c:pt idx="7">
                  <c:v>0.35887413615941011</c:v>
                </c:pt>
                <c:pt idx="8">
                  <c:v>0.35433632526897701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'47'!$C$6:$C$18</c:f>
              <c:numCache>
                <c:formatCode>_(* #,##0.0_);_(* \(#,##0.0\);_(* "-"_);_(@_)</c:formatCode>
                <c:ptCount val="13"/>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27.706</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'50'!$C$11:$C$20</c:f>
              <c:numCache>
                <c:formatCode>#,##0_);\(#,##0\)</c:formatCode>
                <c:ptCount val="10"/>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'50'!$D$11:$D$20</c:f>
              <c:numCache>
                <c:formatCode>#,##0_);\(#,##0\)</c:formatCode>
                <c:ptCount val="10"/>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'50'!$F$11:$F$20</c:f>
              <c:numCache>
                <c:formatCode>#,##0_);\(#,##0\)</c:formatCode>
                <c:ptCount val="10"/>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'51'!$C$5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'51'!$D$5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'51'!$E$5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3"/>
          <c:tx>
            <c:strRef>
              <c:f>'51'!$F$5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4"/>
          <c:tx>
            <c:strRef>
              <c:f>'51'!$G$5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8285</c:v>
                </c:pt>
                <c:pt idx="1">
                  <c:v>10165</c:v>
                </c:pt>
              </c:numCache>
            </c:numRef>
          </c:val>
          <c:extLst>
            <c:ext xmlns:c16="http://schemas.microsoft.com/office/drawing/2014/chart" uri="{C3380CC4-5D6E-409C-BE32-E72D297353CC}">
              <c16:uniqueId val="{00000002-A494-400D-8B28-34807900769C}"/>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46818538093697193"/>
          <c:h val="0.1538351591920575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3">
                  <c:v>1114.4113</c:v>
                </c:pt>
                <c:pt idx="4">
                  <c:v>1365.1233</c:v>
                </c:pt>
                <c:pt idx="5">
                  <c:v>1236.0917400000001</c:v>
                </c:pt>
                <c:pt idx="6">
                  <c:v>1333.2125000000001</c:v>
                </c:pt>
                <c:pt idx="7">
                  <c:v>1531.0056</c:v>
                </c:pt>
                <c:pt idx="8">
                  <c:v>1221.2691400000001</c:v>
                </c:pt>
                <c:pt idx="9">
                  <c:v>1281.3397</c:v>
                </c:pt>
                <c:pt idx="10">
                  <c:v>1204.8561999999999</c:v>
                </c:pt>
                <c:pt idx="11">
                  <c:v>1086.1401000000001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265.24599999999998</c:v>
                </c:pt>
                <c:pt idx="1">
                  <c:v>246.95099999999999</c:v>
                </c:pt>
                <c:pt idx="2">
                  <c:v>257.06</c:v>
                </c:pt>
                <c:pt idx="3">
                  <c:v>228.58699999999999</c:v>
                </c:pt>
                <c:pt idx="4">
                  <c:v>238.41</c:v>
                </c:pt>
                <c:pt idx="5">
                  <c:v>236.12200000000001</c:v>
                </c:pt>
                <c:pt idx="6">
                  <c:v>241.16</c:v>
                </c:pt>
                <c:pt idx="7">
                  <c:v>257.786</c:v>
                </c:pt>
                <c:pt idx="8">
                  <c:v>205.18899999999999</c:v>
                </c:pt>
                <c:pt idx="9">
                  <c:v>208.23699999999999</c:v>
                </c:pt>
                <c:pt idx="10">
                  <c:v>195.40299999999999</c:v>
                </c:pt>
                <c:pt idx="11">
                  <c:v>183.07300000000001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c:formatCode>
                <c:ptCount val="12"/>
                <c:pt idx="3">
                  <c:v>48.8</c:v>
                </c:pt>
                <c:pt idx="4">
                  <c:v>57.259481565370578</c:v>
                </c:pt>
                <c:pt idx="5">
                  <c:v>52.349706507652819</c:v>
                </c:pt>
                <c:pt idx="6">
                  <c:v>55.283318129042961</c:v>
                </c:pt>
                <c:pt idx="7">
                  <c:v>59.4</c:v>
                </c:pt>
                <c:pt idx="8">
                  <c:v>59.51923056304188</c:v>
                </c:pt>
                <c:pt idx="9">
                  <c:v>61.532758347459868</c:v>
                </c:pt>
                <c:pt idx="10">
                  <c:v>61.660066631525616</c:v>
                </c:pt>
                <c:pt idx="11">
                  <c:v>59.328251571777379</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2021 (%)</a:t>
            </a:r>
          </a:p>
        </c:rich>
      </c:tx>
      <c:layout>
        <c:manualLayout>
          <c:xMode val="edge"/>
          <c:yMode val="edge"/>
          <c:x val="0.25134181304260045"/>
          <c:y val="4.458995453743307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9.8404831676395826E-2"/>
                  <c:y val="-1.28479657387580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8.3201063341909368E-2"/>
                  <c:y val="6.69581345158407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0.193518122672968"/>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2.9770153360642357E-2"/>
                  <c:y val="-1.321013674147262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0.28399583056297178</c:v>
                </c:pt>
                <c:pt idx="1">
                  <c:v>3.4693963420985297E-2</c:v>
                </c:pt>
                <c:pt idx="2">
                  <c:v>8.6665261984826894E-2</c:v>
                </c:pt>
                <c:pt idx="3">
                  <c:v>0.2706505726099061</c:v>
                </c:pt>
                <c:pt idx="4">
                  <c:v>0.32399437142130993</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2019</c:v>
                </c:pt>
                <c:pt idx="1">
                  <c:v>2020</c:v>
                </c:pt>
                <c:pt idx="2">
                  <c:v>2021 *</c:v>
                </c:pt>
              </c:strCache>
            </c:strRef>
          </c:cat>
          <c:val>
            <c:numRef>
              <c:f>'53'!$E$13:$E$15</c:f>
              <c:numCache>
                <c:formatCode>#,##0</c:formatCode>
                <c:ptCount val="3"/>
                <c:pt idx="0">
                  <c:v>36413</c:v>
                </c:pt>
                <c:pt idx="1">
                  <c:v>52918.822890000003</c:v>
                </c:pt>
                <c:pt idx="2">
                  <c:v>5800.2261600000002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2019</c:v>
                </c:pt>
                <c:pt idx="1">
                  <c:v>2020</c:v>
                </c:pt>
                <c:pt idx="2">
                  <c:v>2021 *</c:v>
                </c:pt>
              </c:strCache>
            </c:strRef>
          </c:cat>
          <c:val>
            <c:numRef>
              <c:f>'53'!$F$13:$F$15</c:f>
              <c:numCache>
                <c:formatCode>#,##0</c:formatCode>
                <c:ptCount val="3"/>
                <c:pt idx="0">
                  <c:v>84744.584040000016</c:v>
                </c:pt>
                <c:pt idx="1">
                  <c:v>100601.82218000002</c:v>
                </c:pt>
                <c:pt idx="2">
                  <c:v>10260.202860000001</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2019</c:v>
                </c:pt>
                <c:pt idx="1">
                  <c:v>2020</c:v>
                </c:pt>
                <c:pt idx="2">
                  <c:v>2021 *</c:v>
                </c:pt>
              </c:strCache>
            </c:strRef>
          </c:cat>
          <c:val>
            <c:numRef>
              <c:f>'53'!$G$13:$G$15</c:f>
              <c:numCache>
                <c:formatCode>#,##0</c:formatCode>
                <c:ptCount val="3"/>
                <c:pt idx="0">
                  <c:v>5123.49629</c:v>
                </c:pt>
                <c:pt idx="1">
                  <c:v>13833.749479999999</c:v>
                </c:pt>
                <c:pt idx="2">
                  <c:v>2389.6498000000001</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2019</c:v>
                </c:pt>
                <c:pt idx="1">
                  <c:v>2020</c:v>
                </c:pt>
                <c:pt idx="2">
                  <c:v>2021 *</c:v>
                </c:pt>
              </c:strCache>
            </c:strRef>
          </c:cat>
          <c:val>
            <c:numRef>
              <c:f>'53'!$H$13:$H$15</c:f>
              <c:numCache>
                <c:formatCode>#,##0</c:formatCode>
                <c:ptCount val="3"/>
                <c:pt idx="0">
                  <c:v>126281.55284999999</c:v>
                </c:pt>
                <c:pt idx="1">
                  <c:v>167354.39455000003</c:v>
                </c:pt>
                <c:pt idx="2">
                  <c:v>18450.078819999999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2019</c:v>
                </c:pt>
                <c:pt idx="1">
                  <c:v>2020</c:v>
                </c:pt>
                <c:pt idx="2">
                  <c:v>2021 *</c:v>
                </c:pt>
              </c:strCache>
            </c:strRef>
          </c:cat>
          <c:val>
            <c:numRef>
              <c:f>'53'!$I$13:$I$15</c:f>
              <c:numCache>
                <c:formatCode>#,##0</c:formatCode>
                <c:ptCount val="3"/>
                <c:pt idx="0">
                  <c:v>27380.79</c:v>
                </c:pt>
                <c:pt idx="1">
                  <c:v>30916.17628</c:v>
                </c:pt>
                <c:pt idx="2">
                  <c:v>6548.6326499999996</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2019 - 2021</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'54'!$C$11:$C$16</c15:sqref>
                  </c15:fullRef>
                </c:ext>
              </c:extLst>
              <c:f>'54'!$C$11:$C$13</c:f>
              <c:numCache>
                <c:formatCode>#,##0</c:formatCode>
                <c:ptCount val="3"/>
                <c:pt idx="0">
                  <c:v>511.09590872581498</c:v>
                </c:pt>
                <c:pt idx="1">
                  <c:v>549</c:v>
                </c:pt>
                <c:pt idx="2">
                  <c:v>543.60244452151574</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'54'!$D$11:$D$16</c15:sqref>
                  </c15:fullRef>
                </c:ext>
              </c:extLst>
              <c:f>'54'!$D$11:$D$13</c:f>
              <c:numCache>
                <c:formatCode>#,##0</c:formatCode>
                <c:ptCount val="3"/>
                <c:pt idx="0">
                  <c:v>447.0824981726056</c:v>
                </c:pt>
                <c:pt idx="1">
                  <c:v>473</c:v>
                </c:pt>
                <c:pt idx="2">
                  <c:v>496.30617222323303</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'54'!$F$14:$F$16</c15:sqref>
                  </c15:fullRef>
                </c:ext>
              </c:extLst>
              <c:f>'54'!$F$14:$F$16</c:f>
              <c:numCache>
                <c:formatCode>#,##0</c:formatCode>
                <c:ptCount val="3"/>
                <c:pt idx="0">
                  <c:v>472.75245779219557</c:v>
                </c:pt>
                <c:pt idx="1">
                  <c:v>530.79608413587209</c:v>
                </c:pt>
                <c:pt idx="2">
                  <c:v>474.26073669739731</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extLst>
                <c:ext xmlns:c15="http://schemas.microsoft.com/office/drawing/2012/chart" uri="{02D57815-91ED-43cb-92C2-25804820EDAC}">
                  <c15:fullRef>
                    <c15:sqref>'54'!$B$14:$B$16</c15:sqref>
                  </c15:fullRef>
                </c:ext>
              </c:extLst>
              <c:f>'54'!$B$14:$B$16</c:f>
              <c:strCache>
                <c:ptCount val="3"/>
                <c:pt idx="0">
                  <c:v>2019</c:v>
                </c:pt>
                <c:pt idx="1">
                  <c:v>2020</c:v>
                </c:pt>
                <c:pt idx="2">
                  <c:v>2021*</c:v>
                </c:pt>
              </c:strCache>
            </c:strRef>
          </c:cat>
          <c:val>
            <c:numRef>
              <c:extLst>
                <c:ext xmlns:c15="http://schemas.microsoft.com/office/drawing/2012/chart" uri="{02D57815-91ED-43cb-92C2-25804820EDAC}">
                  <c15:fullRef>
                    <c15:sqref>'54'!$G$11:$G$16</c15:sqref>
                  </c15:fullRef>
                </c:ext>
              </c:extLst>
              <c:f>'54'!$G$11:$G$13</c:f>
              <c:numCache>
                <c:formatCode>#,##0</c:formatCode>
                <c:ptCount val="3"/>
                <c:pt idx="0">
                  <c:v>381.70725995316155</c:v>
                </c:pt>
                <c:pt idx="1">
                  <c:v>386</c:v>
                </c:pt>
                <c:pt idx="2">
                  <c:v>393.7999973180091</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1"/>
          <c:tx>
            <c:strRef>
              <c:f>'55'!$F$6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2020</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2021</c:v>
                </c:pt>
              </c:strCache>
            </c:strRef>
          </c:tx>
          <c:val>
            <c:numRef>
              <c:f>'55'!$H$7:$H$16</c:f>
              <c:numCache>
                <c:formatCode>#,##0</c:formatCode>
                <c:ptCount val="10"/>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extLst>
          <c:ext xmlns:c15="http://schemas.microsoft.com/office/drawing/2012/chart" uri="{02D57815-91ED-43cb-92C2-25804820EDAC}">
            <c15:filteredLineSeries>
              <c15:ser>
                <c:idx val="5"/>
                <c:order val="0"/>
                <c:tx>
                  <c:strRef>
                    <c:extLst>
                      <c:ext uri="{02D57815-91ED-43cb-92C2-25804820EDAC}">
                        <c15:formulaRef>
                          <c15:sqref>'55'!$E$6</c15:sqref>
                        </c15:formulaRef>
                      </c:ext>
                    </c:extLst>
                    <c:strCache>
                      <c:ptCount val="1"/>
                      <c:pt idx="0">
                        <c:v>2018</c:v>
                      </c:pt>
                    </c:strCache>
                  </c:strRef>
                </c:tx>
                <c:spPr>
                  <a:ln>
                    <a:solidFill>
                      <a:srgbClr val="FF0000"/>
                    </a:solidFill>
                  </a:ln>
                </c:spPr>
                <c:marker>
                  <c:spPr>
                    <a:solidFill>
                      <a:srgbClr val="FFFF00"/>
                    </a:solidFill>
                  </c:spPr>
                </c:marker>
                <c:cat>
                  <c:strRef>
                    <c:extLst>
                      <c:ext uri="{02D57815-91ED-43cb-92C2-25804820EDAC}">
                        <c15:formulaRef>
                          <c15:sqref>'55'!$B$7:$B$16</c15:sqref>
                        </c15:formulaRef>
                      </c:ext>
                    </c:extLst>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extLst>
                      <c:ext uri="{02D57815-91ED-43cb-92C2-25804820EDAC}">
                        <c15:formulaRef>
                          <c15:sqref>'55'!$E$7:$E$16</c15:sqref>
                        </c15:formulaRef>
                      </c:ext>
                    </c:extLst>
                    <c:numCache>
                      <c:formatCode>#,##0</c:formatCode>
                      <c:ptCount val="10"/>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1-E7D9-4A0B-8D41-9B4083B305DE}"/>
                  </c:ext>
                </c:extLst>
              </c15:ser>
            </c15:filteredLineSeries>
          </c:ext>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'57'!$H$6:$H$19</c:f>
              <c:numCache>
                <c:formatCode>#,##0_ ;\-#,##0\ </c:formatCode>
                <c:ptCount val="14"/>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'57'!$I$6:$I$19</c:f>
              <c:numCache>
                <c:formatCode>#,##0_ ;\-#,##0\ </c:formatCode>
                <c:ptCount val="14"/>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'57'!$B$6:$B$19</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'57'!$F$6:$F$19</c:f>
              <c:numCache>
                <c:formatCode>#,##0_ ;\-#,##0\ </c:formatCode>
                <c:ptCount val="14"/>
                <c:pt idx="2">
                  <c:v>273.0146006096337</c:v>
                </c:pt>
                <c:pt idx="3">
                  <c:v>278.76079693558427</c:v>
                </c:pt>
                <c:pt idx="4">
                  <c:v>291.13165082048687</c:v>
                </c:pt>
                <c:pt idx="5">
                  <c:v>296.44767383187002</c:v>
                </c:pt>
                <c:pt idx="6">
                  <c:v>296.91741108406711</c:v>
                </c:pt>
                <c:pt idx="7">
                  <c:v>291.84614992480823</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20 de marzo</a:t>
            </a:r>
            <a:r>
              <a:rPr lang="es-CL" sz="900" b="1" baseline="0"/>
              <a:t> de 2020 </a:t>
            </a:r>
            <a:r>
              <a:rPr lang="es-CL" sz="900" b="1"/>
              <a:t>hasta el 8 de marzo de 2021</a:t>
            </a:r>
          </a:p>
          <a:p>
            <a:pPr>
              <a:defRPr sz="900" b="1"/>
            </a:pPr>
            <a:r>
              <a:rPr lang="es-CL" sz="900" b="1"/>
              <a:t>(precios en USD/tonelada)</a:t>
            </a:r>
          </a:p>
        </c:rich>
      </c:tx>
      <c:layout>
        <c:manualLayout>
          <c:xMode val="edge"/>
          <c:yMode val="edge"/>
          <c:x val="0.12904320950776449"/>
          <c:y val="3.848831152915224E-2"/>
        </c:manualLayout>
      </c:layout>
      <c:overlay val="0"/>
      <c:spPr>
        <a:noFill/>
        <a:ln w="25400">
          <a:noFill/>
        </a:ln>
      </c:spPr>
    </c:title>
    <c:autoTitleDeleted val="0"/>
    <c:plotArea>
      <c:layout>
        <c:manualLayout>
          <c:layoutTarget val="inner"/>
          <c:xMode val="edge"/>
          <c:yMode val="edge"/>
          <c:x val="0.12113736685441394"/>
          <c:y val="0.20331691967898827"/>
          <c:w val="0.80490883743389641"/>
          <c:h val="0.48874929631010611"/>
        </c:manualLayout>
      </c:layout>
      <c:lineChart>
        <c:grouping val="standard"/>
        <c:varyColors val="0"/>
        <c:ser>
          <c:idx val="1"/>
          <c:order val="0"/>
          <c:tx>
            <c:strRef>
              <c:f>'58'!$I$1</c:f>
              <c:strCache>
                <c:ptCount val="1"/>
                <c:pt idx="0">
                  <c:v>mar-21</c:v>
                </c:pt>
              </c:strCache>
              <c:extLst xmlns:c15="http://schemas.microsoft.com/office/drawing/2012/chart"/>
            </c:strRef>
          </c:tx>
          <c:marker>
            <c:symbol val="none"/>
          </c:marker>
          <c:cat>
            <c:numRef>
              <c:f>'58'!$G$2:$G$26</c:f>
              <c:numCache>
                <c:formatCode>m/d/yyyy</c:formatCode>
                <c:ptCount val="25"/>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pt idx="21">
                  <c:v>44243</c:v>
                </c:pt>
                <c:pt idx="22">
                  <c:v>44249</c:v>
                </c:pt>
                <c:pt idx="23">
                  <c:v>44256</c:v>
                </c:pt>
                <c:pt idx="24">
                  <c:v>44263</c:v>
                </c:pt>
              </c:numCache>
            </c:numRef>
          </c:cat>
          <c:val>
            <c:numRef>
              <c:f>'58'!$I$2:$I$26</c:f>
              <c:numCache>
                <c:formatCode>0</c:formatCode>
                <c:ptCount val="25"/>
                <c:pt idx="0">
                  <c:v>276.57013351205489</c:v>
                </c:pt>
                <c:pt idx="1">
                  <c:v>281.97146334150517</c:v>
                </c:pt>
                <c:pt idx="2">
                  <c:v>286.16024973985429</c:v>
                </c:pt>
                <c:pt idx="3">
                  <c:v>278.00313938517434</c:v>
                </c:pt>
                <c:pt idx="4">
                  <c:v>282.30215700453266</c:v>
                </c:pt>
                <c:pt idx="5">
                  <c:v>278.33383304820188</c:v>
                </c:pt>
                <c:pt idx="6">
                  <c:v>274.58597153388945</c:v>
                </c:pt>
                <c:pt idx="7">
                  <c:v>277.34175205911919</c:v>
                </c:pt>
                <c:pt idx="8">
                  <c:v>275.0268964179262</c:v>
                </c:pt>
                <c:pt idx="9">
                  <c:v>277.67244572214679</c:v>
                </c:pt>
                <c:pt idx="10">
                  <c:v>280.75891991040402</c:v>
                </c:pt>
                <c:pt idx="11">
                  <c:v>275.3575900809538</c:v>
                </c:pt>
                <c:pt idx="12">
                  <c:v>277.78267694315599</c:v>
                </c:pt>
                <c:pt idx="13">
                  <c:v>275.6882837439814</c:v>
                </c:pt>
                <c:pt idx="14">
                  <c:v>271.16880368260462</c:v>
                </c:pt>
                <c:pt idx="15">
                  <c:v>280.53845746838567</c:v>
                </c:pt>
                <c:pt idx="16">
                  <c:v>277.34175205911919</c:v>
                </c:pt>
                <c:pt idx="17">
                  <c:v>290.90019224324942</c:v>
                </c:pt>
                <c:pt idx="18">
                  <c:v>291.78204201132291</c:v>
                </c:pt>
                <c:pt idx="19">
                  <c:v>294.09689765251591</c:v>
                </c:pt>
                <c:pt idx="20">
                  <c:v>285.93978729783595</c:v>
                </c:pt>
                <c:pt idx="21">
                  <c:v>280.31799502636727</c:v>
                </c:pt>
                <c:pt idx="22">
                  <c:v>284.1760877616889</c:v>
                </c:pt>
                <c:pt idx="23">
                  <c:v>282.08169456251431</c:v>
                </c:pt>
                <c:pt idx="24">
                  <c:v>285.93978729783595</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sept-21</c:v>
                </c:pt>
              </c:strCache>
            </c:strRef>
          </c:tx>
          <c:marker>
            <c:symbol val="none"/>
          </c:marker>
          <c:cat>
            <c:numRef>
              <c:f>'58'!$G$2:$G$26</c:f>
              <c:numCache>
                <c:formatCode>m/d/yyyy</c:formatCode>
                <c:ptCount val="25"/>
                <c:pt idx="0">
                  <c:v>44095</c:v>
                </c:pt>
                <c:pt idx="1">
                  <c:v>44102</c:v>
                </c:pt>
                <c:pt idx="2">
                  <c:v>44109</c:v>
                </c:pt>
                <c:pt idx="3">
                  <c:v>44116</c:v>
                </c:pt>
                <c:pt idx="4">
                  <c:v>44123</c:v>
                </c:pt>
                <c:pt idx="5">
                  <c:v>44130</c:v>
                </c:pt>
                <c:pt idx="6">
                  <c:v>44137</c:v>
                </c:pt>
                <c:pt idx="7">
                  <c:v>44144</c:v>
                </c:pt>
                <c:pt idx="8">
                  <c:v>44151</c:v>
                </c:pt>
                <c:pt idx="9">
                  <c:v>44158</c:v>
                </c:pt>
                <c:pt idx="10">
                  <c:v>44165</c:v>
                </c:pt>
                <c:pt idx="11">
                  <c:v>44172</c:v>
                </c:pt>
                <c:pt idx="12">
                  <c:v>44179</c:v>
                </c:pt>
                <c:pt idx="13">
                  <c:v>44186</c:v>
                </c:pt>
                <c:pt idx="14">
                  <c:v>44193</c:v>
                </c:pt>
                <c:pt idx="15">
                  <c:v>44200</c:v>
                </c:pt>
                <c:pt idx="16">
                  <c:v>44207</c:v>
                </c:pt>
                <c:pt idx="17">
                  <c:v>44215</c:v>
                </c:pt>
                <c:pt idx="18">
                  <c:v>44221</c:v>
                </c:pt>
                <c:pt idx="19">
                  <c:v>44228</c:v>
                </c:pt>
                <c:pt idx="20">
                  <c:v>44235</c:v>
                </c:pt>
                <c:pt idx="21">
                  <c:v>44243</c:v>
                </c:pt>
                <c:pt idx="22">
                  <c:v>44249</c:v>
                </c:pt>
                <c:pt idx="23">
                  <c:v>44256</c:v>
                </c:pt>
                <c:pt idx="24">
                  <c:v>44263</c:v>
                </c:pt>
              </c:numCache>
            </c:numRef>
          </c:cat>
          <c:val>
            <c:numRef>
              <c:f>'58'!$L$2:$L$26</c:f>
              <c:numCache>
                <c:formatCode>0</c:formatCode>
                <c:ptCount val="25"/>
                <c:pt idx="0">
                  <c:v>273.04273443976081</c:v>
                </c:pt>
                <c:pt idx="1">
                  <c:v>268.96417926242088</c:v>
                </c:pt>
                <c:pt idx="2">
                  <c:v>268.96417926242088</c:v>
                </c:pt>
                <c:pt idx="3">
                  <c:v>263.56284943297061</c:v>
                </c:pt>
                <c:pt idx="4">
                  <c:v>270.39718513554033</c:v>
                </c:pt>
                <c:pt idx="5">
                  <c:v>265.547011411136</c:v>
                </c:pt>
                <c:pt idx="6">
                  <c:v>261.46845623379596</c:v>
                </c:pt>
                <c:pt idx="7">
                  <c:v>265.547011411136</c:v>
                </c:pt>
                <c:pt idx="8">
                  <c:v>263.67308065397981</c:v>
                </c:pt>
                <c:pt idx="9">
                  <c:v>265.547011411136</c:v>
                </c:pt>
                <c:pt idx="10">
                  <c:v>262.68099966489712</c:v>
                </c:pt>
                <c:pt idx="11">
                  <c:v>265.10608652709925</c:v>
                </c:pt>
                <c:pt idx="12">
                  <c:v>265.6572426321452</c:v>
                </c:pt>
                <c:pt idx="13">
                  <c:v>256.83874495141009</c:v>
                </c:pt>
                <c:pt idx="14">
                  <c:v>255.29550785728142</c:v>
                </c:pt>
                <c:pt idx="15">
                  <c:v>262.79123088590626</c:v>
                </c:pt>
                <c:pt idx="16">
                  <c:v>266.31862995820029</c:v>
                </c:pt>
                <c:pt idx="17">
                  <c:v>277.12128961710084</c:v>
                </c:pt>
                <c:pt idx="18">
                  <c:v>277.67244572214679</c:v>
                </c:pt>
                <c:pt idx="19">
                  <c:v>282.63285066756026</c:v>
                </c:pt>
                <c:pt idx="20">
                  <c:v>282.52261944655106</c:v>
                </c:pt>
                <c:pt idx="21">
                  <c:v>280.86915113141322</c:v>
                </c:pt>
                <c:pt idx="22">
                  <c:v>281.64076967847757</c:v>
                </c:pt>
                <c:pt idx="23">
                  <c:v>281.64076967847757</c:v>
                </c:pt>
                <c:pt idx="24">
                  <c:v>282.41238822554192</c:v>
                </c:pt>
              </c:numCache>
            </c:numRef>
          </c:val>
          <c:smooth val="0"/>
          <c:extLst>
            <c:ext xmlns:c16="http://schemas.microsoft.com/office/drawing/2014/chart" uri="{C3380CC4-5D6E-409C-BE32-E72D297353CC}">
              <c16:uniqueId val="{00000002-48CD-4205-A5D0-7A798A795B3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3292556841947103"/>
          <c:y val="0.85387672362280365"/>
          <c:w val="0.36310509922721745"/>
          <c:h val="8.2631233595800546E-2"/>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'11'!$C$8:$C$16</c:f>
              <c:numCache>
                <c:formatCode>#,##0_);\(#,##0\)</c:formatCode>
                <c:ptCount val="9"/>
                <c:pt idx="0">
                  <c:v>1114411.3</c:v>
                </c:pt>
                <c:pt idx="1">
                  <c:v>1365123.3</c:v>
                </c:pt>
                <c:pt idx="2">
                  <c:v>1236091.7399999998</c:v>
                </c:pt>
                <c:pt idx="3">
                  <c:v>1333212.5</c:v>
                </c:pt>
                <c:pt idx="4">
                  <c:v>1531005.6</c:v>
                </c:pt>
                <c:pt idx="5">
                  <c:v>1221269.1400000001</c:v>
                </c:pt>
                <c:pt idx="6">
                  <c:v>1281339.7</c:v>
                </c:pt>
                <c:pt idx="7">
                  <c:v>1204856.2</c:v>
                </c:pt>
                <c:pt idx="8" formatCode="#,##0">
                  <c:v>1086140.1000000001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'11'!$E$8:$E$16</c:f>
              <c:numCache>
                <c:formatCode>#,##0_);\(#,##0\)</c:formatCode>
                <c:ptCount val="9"/>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 inicial</c:v>
                </c:pt>
              </c:strCache>
            </c:strRef>
          </c:tx>
          <c:invertIfNegative val="0"/>
          <c:val>
            <c:numRef>
              <c:f>'11'!$G$8:$G$16</c:f>
              <c:numCache>
                <c:formatCode>0.0%</c:formatCode>
                <c:ptCount val="9"/>
                <c:pt idx="6" formatCode="#,##0_);\(#,##0\)">
                  <c:v>258213</c:v>
                </c:pt>
                <c:pt idx="7" formatCode="#,##0_);\(#,##0\)">
                  <c:v>234835</c:v>
                </c:pt>
                <c:pt idx="8" formatCode="#,##0_);\(#,##0\)">
                  <c:v>223104</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'11'!$I$8:$I$16</c:f>
              <c:numCache>
                <c:formatCode>#,##0_);\(#,##0\)</c:formatCode>
                <c:ptCount val="9"/>
                <c:pt idx="0">
                  <c:v>1930690</c:v>
                </c:pt>
                <c:pt idx="1">
                  <c:v>2255145.1968999999</c:v>
                </c:pt>
                <c:pt idx="2">
                  <c:v>1982815.0924499999</c:v>
                </c:pt>
                <c:pt idx="3">
                  <c:v>2068460.8859999999</c:v>
                </c:pt>
                <c:pt idx="4">
                  <c:v>2182578.9822200001</c:v>
                </c:pt>
                <c:pt idx="5">
                  <c:v>2276245.93915</c:v>
                </c:pt>
                <c:pt idx="6">
                  <c:v>2671545.2744100001</c:v>
                </c:pt>
                <c:pt idx="7">
                  <c:v>2583902.5389999999</c:v>
                </c:pt>
                <c:pt idx="8">
                  <c:v>2446162.8700700002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'59'!$C$7:$C$20</c:f>
              <c:numCache>
                <c:formatCode>_-* #,##0_-;\-* #,##0_-;_-* \-_-;_-@_-</c:formatCode>
                <c:ptCount val="14"/>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'59'!$D$7:$D$20</c:f>
              <c:numCache>
                <c:formatCode>_-* #,##0_-;\-* #,##0_-;_-* \-_-;_-@_-</c:formatCode>
                <c:ptCount val="14"/>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'59'!$E$7:$E$20</c:f>
              <c:numCache>
                <c:formatCode>_-* #,##0_-;\-* #,##0_-;_-* \-_-;_-@_-</c:formatCode>
                <c:ptCount val="14"/>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'59'!$F$7:$F$20</c:f>
              <c:numCache>
                <c:formatCode>_-* #,##0_-;\-* #,##0_-;_-* \-_-;_-@_-</c:formatCode>
                <c:ptCount val="14"/>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'59'!$G$7:$G$20</c:f>
              <c:numCache>
                <c:formatCode>_-* #,##0_-;\-* #,##0_-;_-* \-_-;_-@_-</c:formatCode>
                <c:ptCount val="14"/>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'59'!$B$7:$B$20</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'59'!$H$7:$H$20</c:f>
              <c:numCache>
                <c:formatCode>_-* #,##0_-;\-* #,##0_-;_-* \-_-;_-@_-</c:formatCode>
                <c:ptCount val="14"/>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900" b="1"/>
              <a:t>Gráfico N° 13. Índice de precios a consumidor arroz grado 2 largo ancho y delgado en supermercados de la RM, Costo de Importación (CIF) y Costo Alternativo de Importación (CAI) </a:t>
            </a:r>
          </a:p>
          <a:p>
            <a:pPr>
              <a:defRPr b="1"/>
            </a:pPr>
            <a:r>
              <a:rPr lang="en-US" sz="900" b="1"/>
              <a:t>2019 -2021 </a:t>
            </a:r>
          </a:p>
          <a:p>
            <a:pPr>
              <a:defRPr b="1"/>
            </a:pPr>
            <a:r>
              <a:rPr lang="en-US" sz="900" b="1"/>
              <a:t>Base enero 2018 = 100</a:t>
            </a:r>
          </a:p>
        </c:rich>
      </c:tx>
      <c:layout>
        <c:manualLayout>
          <c:xMode val="edge"/>
          <c:yMode val="edge"/>
          <c:x val="0.11026067991153396"/>
          <c:y val="3.590551181102362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1015412511332729"/>
          <c:w val="0.75326327022263906"/>
          <c:h val="0.43102405037085684"/>
        </c:manualLayout>
      </c:layout>
      <c:lineChart>
        <c:grouping val="standard"/>
        <c:varyColors val="0"/>
        <c:ser>
          <c:idx val="0"/>
          <c:order val="0"/>
          <c:tx>
            <c:strRef>
              <c:f>'61'!$I$1</c:f>
              <c:strCache>
                <c:ptCount val="1"/>
                <c:pt idx="0">
                  <c:v>  Indice  Costo importación CIF </c:v>
                </c:pt>
              </c:strCache>
            </c:strRef>
          </c:tx>
          <c:spPr>
            <a:ln w="28575" cap="rnd">
              <a:solidFill>
                <a:schemeClr val="accent1"/>
              </a:solidFill>
              <a:round/>
            </a:ln>
            <a:effectLst/>
          </c:spPr>
          <c:marker>
            <c:symbol val="none"/>
          </c:marker>
          <c:cat>
            <c:numRef>
              <c:f>'61'!$A$2:$A$39</c:f>
              <c:numCache>
                <c:formatCode>mmm\-yy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'61'!$I$2:$I$39</c:f>
              <c:numCache>
                <c:formatCode>0.0</c:formatCode>
                <c:ptCount val="38"/>
                <c:pt idx="0">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pt idx="36" formatCode="0.000">
                  <c:v>100.25858318997886</c:v>
                </c:pt>
                <c:pt idx="37" formatCode="0.000">
                  <c:v>100.34460422539208</c:v>
                </c:pt>
              </c:numCache>
            </c:numRef>
          </c:val>
          <c:smooth val="0"/>
          <c:extLst>
            <c:ext xmlns:c16="http://schemas.microsoft.com/office/drawing/2014/chart" uri="{C3380CC4-5D6E-409C-BE32-E72D297353CC}">
              <c16:uniqueId val="{00000000-8A87-4C97-9E0E-640F734FD69B}"/>
            </c:ext>
          </c:extLst>
        </c:ser>
        <c:ser>
          <c:idx val="1"/>
          <c:order val="1"/>
          <c:tx>
            <c:strRef>
              <c:f>'61'!$J$1</c:f>
              <c:strCache>
                <c:ptCount val="1"/>
                <c:pt idx="0">
                  <c:v> Indice Costo de importación CAI (Odepa) </c:v>
                </c:pt>
              </c:strCache>
            </c:strRef>
          </c:tx>
          <c:spPr>
            <a:ln w="28575" cap="rnd">
              <a:solidFill>
                <a:schemeClr val="accent2"/>
              </a:solidFill>
              <a:round/>
            </a:ln>
            <a:effectLst/>
          </c:spPr>
          <c:marker>
            <c:symbol val="none"/>
          </c:marker>
          <c:cat>
            <c:numRef>
              <c:f>'61'!$A$2:$A$39</c:f>
              <c:numCache>
                <c:formatCode>mmm\-yy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'61'!$J$2:$J$39</c:f>
              <c:numCache>
                <c:formatCode>0.0</c:formatCode>
                <c:ptCount val="38"/>
                <c:pt idx="0">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100.02141430091112</c:v>
                </c:pt>
                <c:pt idx="13">
                  <c:v>99.985929850900348</c:v>
                </c:pt>
                <c:pt idx="14">
                  <c:v>100.00033692977335</c:v>
                </c:pt>
                <c:pt idx="15">
                  <c:v>100.00597516522436</c:v>
                </c:pt>
                <c:pt idx="16">
                  <c:v>100.04034995993852</c:v>
                </c:pt>
                <c:pt idx="17">
                  <c:v>100.03449697237217</c:v>
                </c:pt>
                <c:pt idx="18">
                  <c:v>100.02151226036877</c:v>
                </c:pt>
                <c:pt idx="19">
                  <c:v>100.04542854502763</c:v>
                </c:pt>
                <c:pt idx="20">
                  <c:v>100.04666443435541</c:v>
                </c:pt>
                <c:pt idx="21">
                  <c:v>100.07578992089263</c:v>
                </c:pt>
                <c:pt idx="22">
                  <c:v>100.17230523512485</c:v>
                </c:pt>
                <c:pt idx="23">
                  <c:v>100.20087768042724</c:v>
                </c:pt>
                <c:pt idx="24">
                  <c:v>100.20743709620443</c:v>
                </c:pt>
                <c:pt idx="25">
                  <c:v>100.24084060356016</c:v>
                </c:pt>
                <c:pt idx="26">
                  <c:v>100.28602596880016</c:v>
                </c:pt>
                <c:pt idx="27">
                  <c:v>100.32547087832059</c:v>
                </c:pt>
                <c:pt idx="28">
                  <c:v>100.32440017877758</c:v>
                </c:pt>
                <c:pt idx="29">
                  <c:v>100.30450740951234</c:v>
                </c:pt>
                <c:pt idx="30">
                  <c:v>100.32531523822232</c:v>
                </c:pt>
                <c:pt idx="31">
                  <c:v>100.41130706955028</c:v>
                </c:pt>
                <c:pt idx="32">
                  <c:v>100.62905017451742</c:v>
                </c:pt>
                <c:pt idx="33">
                  <c:v>100.64817290719175</c:v>
                </c:pt>
                <c:pt idx="34">
                  <c:v>100.58342664240617</c:v>
                </c:pt>
                <c:pt idx="35">
                  <c:v>100.532513947376</c:v>
                </c:pt>
                <c:pt idx="36" formatCode="0.00">
                  <c:v>100.44999982669886</c:v>
                </c:pt>
                <c:pt idx="37" formatCode="0.00">
                  <c:v>100.4262242458551</c:v>
                </c:pt>
              </c:numCache>
            </c:numRef>
          </c:val>
          <c:smooth val="0"/>
          <c:extLst>
            <c:ext xmlns:c16="http://schemas.microsoft.com/office/drawing/2014/chart" uri="{C3380CC4-5D6E-409C-BE32-E72D297353CC}">
              <c16:uniqueId val="{00000001-8A87-4C97-9E0E-640F734FD69B}"/>
            </c:ext>
          </c:extLst>
        </c:ser>
        <c:ser>
          <c:idx val="2"/>
          <c:order val="2"/>
          <c:tx>
            <c:strRef>
              <c:f>'61'!$K$1</c:f>
              <c:strCache>
                <c:ptCount val="1"/>
                <c:pt idx="0">
                  <c:v> Indice Precio promedio arroz grano ancho grado 2 </c:v>
                </c:pt>
              </c:strCache>
            </c:strRef>
          </c:tx>
          <c:spPr>
            <a:ln w="28575" cap="rnd">
              <a:solidFill>
                <a:schemeClr val="accent3"/>
              </a:solidFill>
              <a:round/>
            </a:ln>
            <a:effectLst/>
          </c:spPr>
          <c:marker>
            <c:symbol val="none"/>
          </c:marker>
          <c:cat>
            <c:numRef>
              <c:f>'61'!$A$2:$A$39</c:f>
              <c:numCache>
                <c:formatCode>mmm\-yy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'61'!$K$2:$K$39</c:f>
              <c:numCache>
                <c:formatCode>0.0</c:formatCode>
                <c:ptCount val="38"/>
                <c:pt idx="0">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99.958919750184336</c:v>
                </c:pt>
                <c:pt idx="13">
                  <c:v>99.967657614262009</c:v>
                </c:pt>
                <c:pt idx="14">
                  <c:v>99.958032975185972</c:v>
                </c:pt>
                <c:pt idx="15">
                  <c:v>99.929850273533887</c:v>
                </c:pt>
                <c:pt idx="16">
                  <c:v>99.932850273533887</c:v>
                </c:pt>
                <c:pt idx="17">
                  <c:v>99.926868219695407</c:v>
                </c:pt>
                <c:pt idx="18">
                  <c:v>99.949937427318275</c:v>
                </c:pt>
                <c:pt idx="19">
                  <c:v>99.948957035161413</c:v>
                </c:pt>
                <c:pt idx="20">
                  <c:v>99.965640057732557</c:v>
                </c:pt>
                <c:pt idx="21">
                  <c:v>99.946335038427534</c:v>
                </c:pt>
                <c:pt idx="22">
                  <c:v>99.948303542364542</c:v>
                </c:pt>
                <c:pt idx="23">
                  <c:v>99.942409632737821</c:v>
                </c:pt>
                <c:pt idx="24">
                  <c:v>99.950314771077743</c:v>
                </c:pt>
                <c:pt idx="25">
                  <c:v>99.957177516175776</c:v>
                </c:pt>
                <c:pt idx="26">
                  <c:v>99.975678003030694</c:v>
                </c:pt>
                <c:pt idx="27">
                  <c:v>99.985238232476206</c:v>
                </c:pt>
                <c:pt idx="28">
                  <c:v>100.01838217187014</c:v>
                </c:pt>
                <c:pt idx="29">
                  <c:v>100.00096695647143</c:v>
                </c:pt>
                <c:pt idx="30">
                  <c:v>99.980444568411727</c:v>
                </c:pt>
                <c:pt idx="31">
                  <c:v>99.971873139840298</c:v>
                </c:pt>
                <c:pt idx="32">
                  <c:v>99.985321746948841</c:v>
                </c:pt>
                <c:pt idx="33">
                  <c:v>100.08295207870239</c:v>
                </c:pt>
                <c:pt idx="34">
                  <c:v>100.00609542930688</c:v>
                </c:pt>
                <c:pt idx="35">
                  <c:v>100.00048270713663</c:v>
                </c:pt>
                <c:pt idx="36">
                  <c:v>99.999541973364288</c:v>
                </c:pt>
                <c:pt idx="37">
                  <c:v>100.00895816922116</c:v>
                </c:pt>
              </c:numCache>
            </c:numRef>
          </c:val>
          <c:smooth val="0"/>
          <c:extLst>
            <c:ext xmlns:c16="http://schemas.microsoft.com/office/drawing/2014/chart" uri="{C3380CC4-5D6E-409C-BE32-E72D297353CC}">
              <c16:uniqueId val="{00000002-8A87-4C97-9E0E-640F734FD69B}"/>
            </c:ext>
          </c:extLst>
        </c:ser>
        <c:ser>
          <c:idx val="3"/>
          <c:order val="3"/>
          <c:tx>
            <c:strRef>
              <c:f>'61'!$L$1</c:f>
              <c:strCache>
                <c:ptCount val="1"/>
                <c:pt idx="0">
                  <c:v> Indice Precio promedio arroz grano delgado grano 2 </c:v>
                </c:pt>
              </c:strCache>
            </c:strRef>
          </c:tx>
          <c:spPr>
            <a:ln w="28575" cap="rnd">
              <a:solidFill>
                <a:schemeClr val="accent4"/>
              </a:solidFill>
              <a:round/>
            </a:ln>
            <a:effectLst/>
          </c:spPr>
          <c:marker>
            <c:symbol val="none"/>
          </c:marker>
          <c:cat>
            <c:numRef>
              <c:f>'61'!$A$2:$A$39</c:f>
              <c:numCache>
                <c:formatCode>mmm\-yy</c:formatCode>
                <c:ptCount val="3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numCache>
            </c:numRef>
          </c:cat>
          <c:val>
            <c:numRef>
              <c:f>'61'!$L$2:$L$39</c:f>
              <c:numCache>
                <c:formatCode>0.0</c:formatCode>
                <c:ptCount val="38"/>
                <c:pt idx="0">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100.02681166578728</c:v>
                </c:pt>
                <c:pt idx="13">
                  <c:v>100.00612201061486</c:v>
                </c:pt>
                <c:pt idx="14">
                  <c:v>100.01551168197636</c:v>
                </c:pt>
                <c:pt idx="15">
                  <c:v>100.00620935639496</c:v>
                </c:pt>
                <c:pt idx="16">
                  <c:v>100.00620935639496</c:v>
                </c:pt>
                <c:pt idx="17">
                  <c:v>100.00855677423533</c:v>
                </c:pt>
                <c:pt idx="18">
                  <c:v>100.01324061498474</c:v>
                </c:pt>
                <c:pt idx="19">
                  <c:v>100.00391660566073</c:v>
                </c:pt>
                <c:pt idx="20">
                  <c:v>100.01568131154309</c:v>
                </c:pt>
                <c:pt idx="21">
                  <c:v>99.997076660380301</c:v>
                </c:pt>
                <c:pt idx="22">
                  <c:v>100.01603400635186</c:v>
                </c:pt>
                <c:pt idx="23">
                  <c:v>100.04742935518907</c:v>
                </c:pt>
                <c:pt idx="24">
                  <c:v>100.05193893805266</c:v>
                </c:pt>
                <c:pt idx="25">
                  <c:v>100.04632726577432</c:v>
                </c:pt>
                <c:pt idx="26">
                  <c:v>100.07567263823482</c:v>
                </c:pt>
                <c:pt idx="27">
                  <c:v>100.07676912946289</c:v>
                </c:pt>
                <c:pt idx="28">
                  <c:v>100.09210319298973</c:v>
                </c:pt>
                <c:pt idx="29">
                  <c:v>100.07807946051939</c:v>
                </c:pt>
                <c:pt idx="30">
                  <c:v>100.06932672528963</c:v>
                </c:pt>
                <c:pt idx="31">
                  <c:v>100.05718544493642</c:v>
                </c:pt>
                <c:pt idx="32">
                  <c:v>100.0627720371152</c:v>
                </c:pt>
                <c:pt idx="33">
                  <c:v>100.0738831482263</c:v>
                </c:pt>
                <c:pt idx="34">
                  <c:v>100.06069633503948</c:v>
                </c:pt>
                <c:pt idx="35">
                  <c:v>100.05846916354727</c:v>
                </c:pt>
                <c:pt idx="36">
                  <c:v>100.06404952069013</c:v>
                </c:pt>
                <c:pt idx="37">
                  <c:v>100.0629396427767</c:v>
                </c:pt>
              </c:numCache>
            </c:numRef>
          </c:val>
          <c:smooth val="0"/>
          <c:extLst>
            <c:ext xmlns:c16="http://schemas.microsoft.com/office/drawing/2014/chart" uri="{C3380CC4-5D6E-409C-BE32-E72D297353CC}">
              <c16:uniqueId val="{00000003-8A87-4C97-9E0E-640F734FD69B}"/>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100.7"/>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sz="900"/>
                  <a:t>Indice de precios de arroz base enero 2018 = 100</a:t>
                </a:r>
              </a:p>
            </c:rich>
          </c:tx>
          <c:layout>
            <c:manualLayout>
              <c:xMode val="edge"/>
              <c:yMode val="edge"/>
              <c:x val="5.1180147936053452E-3"/>
              <c:y val="7.570024335193395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0.1189823602645152"/>
          <c:y val="0.78169316324126747"/>
          <c:w val="0.61613057608045407"/>
          <c:h val="0.20161820660903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5" l="0.7" r="0.7" t="0.75" header="0.3" footer="0.3"/>
    <c:pageSetup paperSize="126"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3"/>
          <c:order val="0"/>
          <c:tx>
            <c:strRef>
              <c:f>'12'!$C$6</c:f>
              <c:strCache>
                <c:ptCount val="1"/>
                <c:pt idx="0">
                  <c:v>2018</c:v>
                </c:pt>
              </c:strCache>
            </c:strRef>
          </c:tx>
          <c:invertIfNegative val="0"/>
          <c:val>
            <c:numRef>
              <c:f>'12'!$C$7:$C$18</c:f>
              <c:numCache>
                <c:formatCode>#,##0</c:formatCode>
                <c:ptCount val="12"/>
                <c:pt idx="0">
                  <c:v>100066.55</c:v>
                </c:pt>
                <c:pt idx="1">
                  <c:v>32375.59</c:v>
                </c:pt>
                <c:pt idx="2">
                  <c:v>98255.790999999997</c:v>
                </c:pt>
                <c:pt idx="3">
                  <c:v>89868.4</c:v>
                </c:pt>
                <c:pt idx="4">
                  <c:v>130281.515</c:v>
                </c:pt>
                <c:pt idx="5">
                  <c:v>125274.86</c:v>
                </c:pt>
                <c:pt idx="6">
                  <c:v>74378.89</c:v>
                </c:pt>
                <c:pt idx="7">
                  <c:v>19843.32</c:v>
                </c:pt>
                <c:pt idx="8">
                  <c:v>77654.850000000006</c:v>
                </c:pt>
                <c:pt idx="9">
                  <c:v>70782.711599999995</c:v>
                </c:pt>
                <c:pt idx="10">
                  <c:v>104883.17567</c:v>
                </c:pt>
                <c:pt idx="11">
                  <c:v>146130.49</c:v>
                </c:pt>
              </c:numCache>
            </c:numRef>
          </c:val>
          <c:extLst>
            <c:ext xmlns:c16="http://schemas.microsoft.com/office/drawing/2014/chart" uri="{C3380CC4-5D6E-409C-BE32-E72D297353CC}">
              <c16:uniqueId val="{00000002-BF06-4A3D-95C4-F679E17186F0}"/>
            </c:ext>
          </c:extLst>
        </c:ser>
        <c:ser>
          <c:idx val="1"/>
          <c:order val="1"/>
          <c:tx>
            <c:strRef>
              <c:f>'12'!$D$6</c:f>
              <c:strCache>
                <c:ptCount val="1"/>
                <c:pt idx="0">
                  <c:v>2019</c:v>
                </c:pt>
              </c:strCache>
            </c:strRef>
          </c:tx>
          <c:invertIfNegative val="0"/>
          <c:val>
            <c:numRef>
              <c:f>'12'!$D$7:$D$18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2"/>
          <c:tx>
            <c:strRef>
              <c:f>'12'!$E$6</c:f>
              <c:strCache>
                <c:ptCount val="1"/>
                <c:pt idx="0">
                  <c:v>2020</c:v>
                </c:pt>
              </c:strCache>
            </c:strRef>
          </c:tx>
          <c:invertIfNegative val="0"/>
          <c:val>
            <c:numRef>
              <c:f>'12'!$E$7:$E$18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3"/>
          <c:tx>
            <c:strRef>
              <c:f>'12'!$F$6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'12'!$F$7:$F$18</c:f>
              <c:numCache>
                <c:formatCode>#,##0</c:formatCode>
                <c:ptCount val="12"/>
                <c:pt idx="0">
                  <c:v>63398.959000000003</c:v>
                </c:pt>
                <c:pt idx="1">
                  <c:v>79487.328999999998</c:v>
                </c:pt>
              </c:numCache>
            </c:numRef>
          </c:val>
          <c:extLst>
            <c:ext xmlns:c16="http://schemas.microsoft.com/office/drawing/2014/chart" uri="{C3380CC4-5D6E-409C-BE32-E72D297353CC}">
              <c16:uniqueId val="{00000001-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32487906922082505"/>
          <c:y val="0.83884030943500498"/>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0.66134530697585203</c:v>
                </c:pt>
                <c:pt idx="1">
                  <c:v>0.13828060254459126</c:v>
                </c:pt>
                <c:pt idx="2">
                  <c:v>0.20023831817927834</c:v>
                </c:pt>
                <c:pt idx="3" formatCode="#,##0.000">
                  <c:v>1.3577230027836396E-4</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0.23100698087978885</c:v>
                </c:pt>
                <c:pt idx="1">
                  <c:v>0.47010669071338734</c:v>
                </c:pt>
                <c:pt idx="2">
                  <c:v>0.28320952672519567</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2020 - 2021</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'16'!$Q$8:$Q$21</c:f>
              <c:numCache>
                <c:formatCode>0</c:formatCode>
                <c:ptCount val="14"/>
                <c:pt idx="0">
                  <c:v>170.00229653909187</c:v>
                </c:pt>
                <c:pt idx="1">
                  <c:v>173.69576799811472</c:v>
                </c:pt>
                <c:pt idx="2">
                  <c:v>182.75104898120671</c:v>
                </c:pt>
                <c:pt idx="3">
                  <c:v>199.60643765752232</c:v>
                </c:pt>
                <c:pt idx="4">
                  <c:v>197.54904988549347</c:v>
                </c:pt>
                <c:pt idx="5">
                  <c:v>183.22657214412229</c:v>
                </c:pt>
                <c:pt idx="6">
                  <c:v>214.90895754181034</c:v>
                </c:pt>
                <c:pt idx="7">
                  <c:v>204.93150175571432</c:v>
                </c:pt>
                <c:pt idx="11">
                  <c:v>170.59636438599611</c:v>
                </c:pt>
                <c:pt idx="12">
                  <c:v>175.87005961990735</c:v>
                </c:pt>
                <c:pt idx="13">
                  <c:v>189.30695667784781</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'16'!$O$8:$O$21</c:f>
              <c:numCache>
                <c:formatCode>0</c:formatCode>
                <c:ptCount val="14"/>
                <c:pt idx="0">
                  <c:v>181.49013191736245</c:v>
                </c:pt>
                <c:pt idx="1">
                  <c:v>189.39620218483532</c:v>
                </c:pt>
                <c:pt idx="2">
                  <c:v>217.85601603699948</c:v>
                </c:pt>
                <c:pt idx="4" formatCode="General">
                  <c:v>213</c:v>
                </c:pt>
                <c:pt idx="5" formatCode="General">
                  <c:v>199</c:v>
                </c:pt>
                <c:pt idx="6" formatCode="General">
                  <c:v>215</c:v>
                </c:pt>
                <c:pt idx="7" formatCode="General">
                  <c:v>194</c:v>
                </c:pt>
                <c:pt idx="8" formatCode="General">
                  <c:v>192</c:v>
                </c:pt>
                <c:pt idx="9" formatCode="General">
                  <c:v>185</c:v>
                </c:pt>
                <c:pt idx="10" formatCode="General">
                  <c:v>178</c:v>
                </c:pt>
                <c:pt idx="12">
                  <c:v>173.93033387186944</c:v>
                </c:pt>
                <c:pt idx="13">
                  <c:v>186.40526781787636</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'16'!$P$8:$P$21</c:f>
              <c:numCache>
                <c:formatCode>0</c:formatCode>
                <c:ptCount val="14"/>
                <c:pt idx="0">
                  <c:v>179.84608737526446</c:v>
                </c:pt>
                <c:pt idx="1">
                  <c:v>186.75110999999998</c:v>
                </c:pt>
                <c:pt idx="2">
                  <c:v>220.90781266580973</c:v>
                </c:pt>
                <c:pt idx="4" formatCode="General">
                  <c:v>208</c:v>
                </c:pt>
                <c:pt idx="5" formatCode="General">
                  <c:v>199</c:v>
                </c:pt>
                <c:pt idx="6" formatCode="General">
                  <c:v>204</c:v>
                </c:pt>
                <c:pt idx="7" formatCode="General">
                  <c:v>195</c:v>
                </c:pt>
                <c:pt idx="8" formatCode="General">
                  <c:v>192</c:v>
                </c:pt>
                <c:pt idx="9" formatCode="General">
                  <c:v>186</c:v>
                </c:pt>
                <c:pt idx="10" formatCode="General">
                  <c:v>187</c:v>
                </c:pt>
                <c:pt idx="12">
                  <c:v>162.40294117833042</c:v>
                </c:pt>
                <c:pt idx="13">
                  <c:v>190.02701916172467</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2020-2021</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'18'!$N$8:$N$31</c:f>
              <c:numCache>
                <c:formatCode>_-* #,##0_-;\-* #,##0_-;_-* \-??_-;_-@_-</c:formatCode>
                <c:ptCount val="24"/>
                <c:pt idx="0">
                  <c:v>167.84891608145881</c:v>
                </c:pt>
                <c:pt idx="1">
                  <c:v>173.21892904509284</c:v>
                </c:pt>
                <c:pt idx="2">
                  <c:v>177.25376344086021</c:v>
                </c:pt>
                <c:pt idx="3">
                  <c:v>189.05</c:v>
                </c:pt>
                <c:pt idx="4">
                  <c:v>197.32885304659499</c:v>
                </c:pt>
                <c:pt idx="5">
                  <c:v>194.96666666666673</c:v>
                </c:pt>
                <c:pt idx="6">
                  <c:v>186.45161290322579</c:v>
                </c:pt>
                <c:pt idx="7">
                  <c:v>193.46774193548387</c:v>
                </c:pt>
                <c:pt idx="8">
                  <c:v>201.16666666666669</c:v>
                </c:pt>
                <c:pt idx="9">
                  <c:v>191.77419354838707</c:v>
                </c:pt>
                <c:pt idx="10">
                  <c:v>214.70833333333331</c:v>
                </c:pt>
                <c:pt idx="11">
                  <c:v>204.22916666666669</c:v>
                </c:pt>
                <c:pt idx="12">
                  <c:v>190.97270416174587</c:v>
                </c:pt>
                <c:pt idx="13">
                  <c:v>194.04661943319834</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'18'!$O$8:$O$31</c:f>
              <c:numCache>
                <c:formatCode>_-* #,##0_-;\-* #,##0_-;_-* \-??_-;_-@_-</c:formatCode>
                <c:ptCount val="24"/>
                <c:pt idx="0">
                  <c:v>173.5213821241872</c:v>
                </c:pt>
                <c:pt idx="1">
                  <c:v>179.82508836490845</c:v>
                </c:pt>
                <c:pt idx="2">
                  <c:v>191.72243401759533</c:v>
                </c:pt>
                <c:pt idx="3">
                  <c:v>201.28435185185182</c:v>
                </c:pt>
                <c:pt idx="4">
                  <c:v>202.50035842293906</c:v>
                </c:pt>
                <c:pt idx="5">
                  <c:v>198.63240740740741</c:v>
                </c:pt>
                <c:pt idx="6">
                  <c:v>197.90322580645162</c:v>
                </c:pt>
                <c:pt idx="7">
                  <c:v>198.85080645161293</c:v>
                </c:pt>
                <c:pt idx="8">
                  <c:v>199.99107142857144</c:v>
                </c:pt>
                <c:pt idx="9">
                  <c:v>194.58525345622118</c:v>
                </c:pt>
                <c:pt idx="10">
                  <c:v>202.5</c:v>
                </c:pt>
                <c:pt idx="11">
                  <c:v>207.93729321753514</c:v>
                </c:pt>
                <c:pt idx="12">
                  <c:v>195.2924834177893</c:v>
                </c:pt>
                <c:pt idx="13">
                  <c:v>197.594057537743</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'18'!$M$8:$M$21</c:f>
              <c:numCache>
                <c:formatCode>mmm\-yy</c:formatCode>
                <c:ptCount val="1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numCache>
            </c:numRef>
          </c:cat>
          <c:val>
            <c:numRef>
              <c:f>'18'!$P$8:$P$31</c:f>
              <c:numCache>
                <c:formatCode>_-* #,##0_-;\-* #,##0_-;_-* \-??_-;_-@_-</c:formatCode>
                <c:ptCount val="24"/>
                <c:pt idx="0">
                  <c:v>177.34495979445921</c:v>
                </c:pt>
                <c:pt idx="1">
                  <c:v>182.2215413164561</c:v>
                </c:pt>
                <c:pt idx="2">
                  <c:v>187.74655870445341</c:v>
                </c:pt>
                <c:pt idx="3">
                  <c:v>202.02111111111108</c:v>
                </c:pt>
                <c:pt idx="4">
                  <c:v>199.39354838709679</c:v>
                </c:pt>
                <c:pt idx="5">
                  <c:v>192.68333333333331</c:v>
                </c:pt>
                <c:pt idx="6">
                  <c:v>190</c:v>
                </c:pt>
                <c:pt idx="7">
                  <c:v>202.17741935483872</c:v>
                </c:pt>
                <c:pt idx="8">
                  <c:v>202.88888888888891</c:v>
                </c:pt>
                <c:pt idx="9">
                  <c:v>199.78494623655916</c:v>
                </c:pt>
                <c:pt idx="10">
                  <c:v>208.75</c:v>
                </c:pt>
                <c:pt idx="11">
                  <c:v>212.88076542161855</c:v>
                </c:pt>
                <c:pt idx="12">
                  <c:v>199.25540605546121</c:v>
                </c:pt>
                <c:pt idx="13">
                  <c:v>201.98578373015877</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1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17</xdr:row>
      <xdr:rowOff>114300</xdr:rowOff>
    </xdr:from>
    <xdr:to>
      <xdr:col>10</xdr:col>
      <xdr:colOff>0</xdr:colOff>
      <xdr:row>35</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21</xdr:row>
      <xdr:rowOff>28575</xdr:rowOff>
    </xdr:from>
    <xdr:to>
      <xdr:col>7</xdr:col>
      <xdr:colOff>914400</xdr:colOff>
      <xdr:row>37</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12698</xdr:colOff>
      <xdr:row>1</xdr:row>
      <xdr:rowOff>79376</xdr:rowOff>
    </xdr:from>
    <xdr:to>
      <xdr:col>9</xdr:col>
      <xdr:colOff>514350</xdr:colOff>
      <xdr:row>19</xdr:row>
      <xdr:rowOff>215900</xdr:rowOff>
    </xdr:to>
    <xdr:graphicFrame macro="">
      <xdr:nvGraphicFramePr>
        <xdr:cNvPr id="16"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21</xdr:row>
      <xdr:rowOff>28575</xdr:rowOff>
    </xdr:from>
    <xdr:to>
      <xdr:col>7</xdr:col>
      <xdr:colOff>0</xdr:colOff>
      <xdr:row>38</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163513</xdr:colOff>
      <xdr:row>1</xdr:row>
      <xdr:rowOff>69849</xdr:rowOff>
    </xdr:from>
    <xdr:to>
      <xdr:col>4</xdr:col>
      <xdr:colOff>1593850</xdr:colOff>
      <xdr:row>23</xdr:row>
      <xdr:rowOff>149224</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15</xdr:row>
      <xdr:rowOff>190500</xdr:rowOff>
    </xdr:from>
    <xdr:to>
      <xdr:col>6</xdr:col>
      <xdr:colOff>955675</xdr:colOff>
      <xdr:row>35</xdr:row>
      <xdr:rowOff>28575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21</xdr:row>
      <xdr:rowOff>123825</xdr:rowOff>
    </xdr:from>
    <xdr:to>
      <xdr:col>6</xdr:col>
      <xdr:colOff>1114425</xdr:colOff>
      <xdr:row>37</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21</xdr:row>
      <xdr:rowOff>152401</xdr:rowOff>
    </xdr:from>
    <xdr:to>
      <xdr:col>12</xdr:col>
      <xdr:colOff>457200</xdr:colOff>
      <xdr:row>37</xdr:row>
      <xdr:rowOff>88901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66676</xdr:colOff>
      <xdr:row>17</xdr:row>
      <xdr:rowOff>95251</xdr:rowOff>
    </xdr:from>
    <xdr:to>
      <xdr:col>6</xdr:col>
      <xdr:colOff>762000</xdr:colOff>
      <xdr:row>32</xdr:row>
      <xdr:rowOff>781050</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0.89738</cdr:y>
    </cdr:from>
    <cdr:to>
      <cdr:x>0.85218</cdr:x>
      <cdr:y>0.95988</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5462" y="3117002"/>
          <a:ext cx="4192069" cy="217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21</xdr:row>
      <xdr:rowOff>123825</xdr:rowOff>
    </xdr:from>
    <xdr:to>
      <xdr:col>8</xdr:col>
      <xdr:colOff>895350</xdr:colOff>
      <xdr:row>41</xdr:row>
      <xdr:rowOff>123825</xdr:rowOff>
    </xdr:to>
    <xdr:graphicFrame macro="">
      <xdr:nvGraphicFramePr>
        <xdr:cNvPr id="7"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88900</xdr:colOff>
      <xdr:row>0</xdr:row>
      <xdr:rowOff>76200</xdr:rowOff>
    </xdr:from>
    <xdr:to>
      <xdr:col>4</xdr:col>
      <xdr:colOff>2098675</xdr:colOff>
      <xdr:row>20</xdr:row>
      <xdr:rowOff>101600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269875</xdr:colOff>
      <xdr:row>19</xdr:row>
      <xdr:rowOff>19049</xdr:rowOff>
    </xdr:from>
    <xdr:to>
      <xdr:col>3</xdr:col>
      <xdr:colOff>393700</xdr:colOff>
      <xdr:row>20</xdr:row>
      <xdr:rowOff>142944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269875" y="3035299"/>
          <a:ext cx="3159125" cy="282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76199</xdr:colOff>
      <xdr:row>0</xdr:row>
      <xdr:rowOff>174625</xdr:rowOff>
    </xdr:from>
    <xdr:to>
      <xdr:col>4</xdr:col>
      <xdr:colOff>1314450</xdr:colOff>
      <xdr:row>16</xdr:row>
      <xdr:rowOff>19050</xdr:rowOff>
    </xdr:to>
    <xdr:graphicFrame macro="">
      <xdr:nvGraphicFramePr>
        <xdr:cNvPr id="2" name="Gráfico 1">
          <a:extLst>
            <a:ext uri="{FF2B5EF4-FFF2-40B4-BE49-F238E27FC236}">
              <a16:creationId xmlns:a16="http://schemas.microsoft.com/office/drawing/2014/main" id="{3B0068D4-F4A4-43D7-B26E-04A70A45B5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A18" sqref="A18:E18"/>
    </sheetView>
  </sheetViews>
  <sheetFormatPr baseColWidth="10" defaultRowHeight="18"/>
  <cols>
    <col min="1" max="4" width="6.90625" customWidth="1"/>
    <col min="5" max="5" width="6.7265625" customWidth="1"/>
  </cols>
  <sheetData>
    <row r="1" spans="1:5">
      <c r="A1" s="444"/>
      <c r="B1" s="445"/>
      <c r="C1" s="445"/>
      <c r="D1" s="445"/>
      <c r="E1" s="445"/>
    </row>
    <row r="2" spans="1:5">
      <c r="A2" s="445"/>
      <c r="B2" s="445"/>
      <c r="C2" s="445"/>
      <c r="D2" s="445"/>
      <c r="E2" s="445"/>
    </row>
    <row r="3" spans="1:5">
      <c r="B3" s="445"/>
      <c r="C3" s="445"/>
      <c r="D3" s="445"/>
      <c r="E3" s="445"/>
    </row>
    <row r="4" spans="1:5">
      <c r="A4" s="445"/>
      <c r="B4" s="445"/>
      <c r="C4" s="445"/>
      <c r="D4" s="446"/>
      <c r="E4" s="445"/>
    </row>
    <row r="5" spans="1:5">
      <c r="A5" s="444"/>
      <c r="C5" s="445"/>
      <c r="D5" s="447"/>
      <c r="E5" s="445"/>
    </row>
    <row r="6" spans="1:5">
      <c r="A6" s="444"/>
      <c r="B6" s="445"/>
      <c r="C6" s="445"/>
      <c r="D6" s="445"/>
      <c r="E6" s="445"/>
    </row>
    <row r="7" spans="1:5">
      <c r="A7" s="444"/>
      <c r="B7" s="445"/>
      <c r="C7" s="445"/>
      <c r="D7" s="445"/>
      <c r="E7" s="445"/>
    </row>
    <row r="8" spans="1:5">
      <c r="A8" s="445"/>
      <c r="B8" s="445"/>
      <c r="C8" s="445"/>
      <c r="D8" s="446"/>
      <c r="E8" s="445"/>
    </row>
    <row r="9" spans="1:5">
      <c r="A9" s="448"/>
      <c r="B9" s="445"/>
      <c r="C9" s="445"/>
      <c r="D9" s="445"/>
      <c r="E9" s="445"/>
    </row>
    <row r="10" spans="1:5">
      <c r="A10" s="444"/>
      <c r="B10" s="445"/>
      <c r="C10" s="445"/>
      <c r="D10" s="445"/>
      <c r="E10" s="445"/>
    </row>
    <row r="11" spans="1:5">
      <c r="A11" s="444"/>
      <c r="B11" s="445"/>
      <c r="C11" s="445"/>
      <c r="D11" s="445"/>
      <c r="E11" s="445"/>
    </row>
    <row r="12" spans="1:5">
      <c r="A12" s="444"/>
      <c r="B12" s="445"/>
      <c r="C12" s="445"/>
      <c r="D12" s="445"/>
      <c r="E12" s="445"/>
    </row>
    <row r="13" spans="1:5">
      <c r="A13" s="444"/>
      <c r="B13" s="445"/>
      <c r="C13" s="445"/>
      <c r="D13" s="445"/>
      <c r="E13" s="445"/>
    </row>
    <row r="14" spans="1:5">
      <c r="A14" s="444"/>
      <c r="B14" s="445"/>
      <c r="C14" s="445"/>
      <c r="D14" s="445"/>
      <c r="E14" s="445"/>
    </row>
    <row r="15" spans="1:5">
      <c r="A15" s="444"/>
      <c r="B15" s="445"/>
      <c r="C15" s="445"/>
      <c r="D15" s="445"/>
      <c r="E15" s="445"/>
    </row>
    <row r="16" spans="1:5">
      <c r="A16" s="444"/>
      <c r="B16" s="445"/>
      <c r="C16" s="445"/>
      <c r="D16" s="445"/>
      <c r="E16" s="445"/>
    </row>
    <row r="17" spans="1:5">
      <c r="A17" s="444"/>
      <c r="B17" s="445"/>
      <c r="C17" s="445"/>
      <c r="D17" s="445"/>
      <c r="E17" s="445"/>
    </row>
    <row r="18" spans="1:5" ht="19.350000000000001" customHeight="1">
      <c r="A18" s="1072" t="s">
        <v>356</v>
      </c>
      <c r="B18" s="1072"/>
      <c r="C18" s="1072"/>
      <c r="D18" s="1072"/>
      <c r="E18" s="1072"/>
    </row>
    <row r="19" spans="1:5" ht="19.5">
      <c r="A19" s="445"/>
      <c r="B19" s="445"/>
      <c r="C19" s="1073"/>
      <c r="D19" s="1073"/>
      <c r="E19" s="1073"/>
    </row>
    <row r="20" spans="1:5">
      <c r="A20" s="445"/>
      <c r="B20" s="445"/>
      <c r="C20" s="445"/>
      <c r="D20" s="445"/>
      <c r="E20" s="445"/>
    </row>
    <row r="21" spans="1:5">
      <c r="A21" s="445"/>
      <c r="B21" s="445"/>
      <c r="C21" s="445"/>
      <c r="D21" s="449"/>
      <c r="E21" s="445"/>
    </row>
    <row r="22" spans="1:5">
      <c r="A22" s="1074"/>
      <c r="B22" s="1074"/>
      <c r="C22" s="1074"/>
      <c r="D22" s="1074"/>
      <c r="E22" s="1074"/>
    </row>
    <row r="23" spans="1:5">
      <c r="A23" s="445"/>
      <c r="B23" s="445"/>
      <c r="C23" s="445"/>
      <c r="D23" s="445"/>
      <c r="E23" s="445"/>
    </row>
    <row r="24" spans="1:5">
      <c r="A24" s="444"/>
      <c r="B24" s="445"/>
      <c r="C24" s="445"/>
      <c r="D24" s="445"/>
      <c r="E24" s="445"/>
    </row>
    <row r="25" spans="1:5">
      <c r="A25" s="444"/>
      <c r="B25" s="445"/>
      <c r="C25" s="445"/>
      <c r="D25" s="446"/>
      <c r="E25" s="445"/>
    </row>
    <row r="26" spans="1:5">
      <c r="A26" s="450"/>
      <c r="B26" s="451"/>
      <c r="C26" s="451"/>
      <c r="D26" s="449"/>
      <c r="E26" s="451"/>
    </row>
    <row r="27" spans="1:5">
      <c r="B27" s="451"/>
      <c r="C27" s="451"/>
      <c r="D27" s="451"/>
      <c r="E27" s="451"/>
    </row>
    <row r="28" spans="1:5">
      <c r="A28" s="444"/>
      <c r="B28" s="445"/>
      <c r="C28" s="445"/>
      <c r="D28" s="445"/>
      <c r="E28" s="445"/>
    </row>
    <row r="29" spans="1:5">
      <c r="A29" s="444"/>
      <c r="B29" s="445"/>
      <c r="C29" s="445"/>
      <c r="D29" s="445"/>
      <c r="E29" s="445"/>
    </row>
    <row r="30" spans="1:5">
      <c r="A30" s="444"/>
      <c r="B30" s="445"/>
      <c r="C30" s="445"/>
      <c r="D30" s="446"/>
      <c r="E30" s="445"/>
    </row>
    <row r="31" spans="1:5">
      <c r="A31" s="444"/>
      <c r="B31" s="445"/>
      <c r="C31" s="445"/>
      <c r="D31" s="445"/>
      <c r="E31" s="445"/>
    </row>
    <row r="32" spans="1:5">
      <c r="A32" s="444"/>
      <c r="B32" s="445"/>
      <c r="C32" s="445"/>
      <c r="D32" s="445"/>
      <c r="E32" s="445"/>
    </row>
    <row r="33" spans="1:5">
      <c r="A33" s="444"/>
      <c r="B33" s="445"/>
      <c r="C33" s="445"/>
      <c r="D33" s="445"/>
      <c r="E33" s="445"/>
    </row>
    <row r="34" spans="1:5">
      <c r="A34" s="444"/>
      <c r="B34" s="445"/>
      <c r="C34" s="445"/>
      <c r="D34" s="445"/>
      <c r="E34" s="445"/>
    </row>
    <row r="35" spans="1:5">
      <c r="A35" s="452"/>
      <c r="B35" s="452"/>
      <c r="C35" s="452"/>
      <c r="D35" s="452"/>
      <c r="E35" s="452"/>
    </row>
    <row r="36" spans="1:5">
      <c r="A36" s="444"/>
      <c r="B36" s="445"/>
      <c r="C36" s="445"/>
      <c r="D36" s="445"/>
      <c r="E36" s="445"/>
    </row>
    <row r="37" spans="1:5">
      <c r="A37" s="444"/>
      <c r="B37" s="445"/>
      <c r="C37" s="445"/>
      <c r="D37" s="445"/>
      <c r="E37" s="445"/>
    </row>
    <row r="38" spans="1:5">
      <c r="A38" s="444"/>
      <c r="B38" s="445"/>
      <c r="C38" s="445"/>
      <c r="D38" s="445"/>
      <c r="E38" s="445"/>
    </row>
    <row r="39" spans="1:5">
      <c r="A39" s="453"/>
      <c r="B39" s="445"/>
      <c r="C39" s="453"/>
      <c r="D39" s="454"/>
      <c r="E39" s="445"/>
    </row>
    <row r="40" spans="1:5">
      <c r="A40" s="444"/>
      <c r="B40" s="1076" t="s">
        <v>736</v>
      </c>
      <c r="C40" s="1076"/>
      <c r="D40" s="1076"/>
      <c r="E40" s="661"/>
    </row>
    <row r="41" spans="1:5">
      <c r="A41" s="444"/>
      <c r="B41" s="901"/>
      <c r="C41" s="901"/>
      <c r="D41" s="901"/>
      <c r="E41" s="661"/>
    </row>
    <row r="42" spans="1:5">
      <c r="A42" s="452"/>
      <c r="B42" s="452"/>
      <c r="E42" s="445"/>
    </row>
    <row r="43" spans="1:5">
      <c r="A43" s="452"/>
      <c r="B43" s="452"/>
      <c r="C43" s="452"/>
      <c r="D43" s="452"/>
      <c r="E43" s="452"/>
    </row>
    <row r="44" spans="1:5">
      <c r="A44" s="452"/>
      <c r="B44" s="452"/>
      <c r="C44" s="452"/>
      <c r="D44" s="452"/>
      <c r="E44" s="452"/>
    </row>
    <row r="45" spans="1:5">
      <c r="A45" s="452"/>
      <c r="B45" s="452"/>
      <c r="C45" s="452"/>
      <c r="D45" s="452"/>
      <c r="E45" s="452"/>
    </row>
    <row r="46" spans="1:5">
      <c r="A46" s="452"/>
      <c r="B46" s="452"/>
      <c r="C46" s="452"/>
      <c r="D46" s="452"/>
      <c r="E46" s="452"/>
    </row>
    <row r="47" spans="1:5">
      <c r="A47" s="452"/>
      <c r="B47" s="452"/>
      <c r="C47" s="452"/>
      <c r="D47" s="452"/>
      <c r="E47" s="452"/>
    </row>
    <row r="48" spans="1:5">
      <c r="A48" s="452"/>
      <c r="B48" s="452"/>
      <c r="C48" s="452"/>
      <c r="D48" s="452"/>
      <c r="E48" s="452"/>
    </row>
    <row r="49" spans="1:6">
      <c r="A49" s="452"/>
      <c r="B49" s="452"/>
      <c r="C49" s="452"/>
      <c r="D49" s="452"/>
      <c r="E49" s="452"/>
    </row>
    <row r="50" spans="1:6">
      <c r="A50" s="452"/>
      <c r="B50" s="452"/>
      <c r="C50" s="452"/>
      <c r="D50" s="452"/>
      <c r="E50" s="452"/>
    </row>
    <row r="51" spans="1:6">
      <c r="A51" s="1075" t="s">
        <v>448</v>
      </c>
      <c r="B51" s="1075"/>
      <c r="C51" s="1075"/>
      <c r="D51" s="1075"/>
      <c r="E51" s="1075"/>
      <c r="F51" s="455"/>
    </row>
    <row r="52" spans="1:6" ht="48" customHeight="1">
      <c r="A52" s="1067" t="s">
        <v>737</v>
      </c>
      <c r="B52" s="1068"/>
      <c r="C52" s="1068"/>
      <c r="D52" s="1068"/>
      <c r="E52" s="1068"/>
      <c r="F52" s="456"/>
    </row>
    <row r="53" spans="1:6">
      <c r="A53" s="1069" t="s">
        <v>509</v>
      </c>
      <c r="B53" s="1070"/>
      <c r="C53" s="1070"/>
      <c r="D53" s="1070"/>
      <c r="E53" s="1070"/>
    </row>
    <row r="54" spans="1:6">
      <c r="A54" s="1069" t="s">
        <v>510</v>
      </c>
      <c r="B54" s="1070"/>
      <c r="C54" s="1070"/>
      <c r="D54" s="1070"/>
      <c r="E54" s="1070"/>
    </row>
    <row r="55" spans="1:6">
      <c r="A55" s="1069" t="s">
        <v>511</v>
      </c>
      <c r="B55" s="1070"/>
      <c r="C55" s="1070"/>
      <c r="D55" s="1070"/>
      <c r="E55" s="1070"/>
    </row>
    <row r="57" spans="1:6">
      <c r="A57" s="1070"/>
      <c r="B57" s="1070"/>
      <c r="C57" s="1070"/>
      <c r="D57" s="1070"/>
      <c r="E57" s="1070"/>
    </row>
    <row r="58" spans="1:6">
      <c r="A58" s="1070" t="s">
        <v>364</v>
      </c>
      <c r="B58" s="1070"/>
      <c r="C58" s="1070"/>
      <c r="D58" s="1070"/>
      <c r="E58" s="1070"/>
    </row>
    <row r="59" spans="1:6">
      <c r="A59" s="1070" t="s">
        <v>491</v>
      </c>
      <c r="B59" s="1070"/>
      <c r="C59" s="1070"/>
      <c r="D59" s="1070"/>
      <c r="E59" s="1070"/>
    </row>
    <row r="60" spans="1:6">
      <c r="A60" s="452"/>
      <c r="B60" s="452"/>
      <c r="C60" s="452"/>
      <c r="D60" s="452"/>
      <c r="E60" s="452"/>
    </row>
    <row r="61" spans="1:6">
      <c r="A61" s="1071" t="s">
        <v>41</v>
      </c>
      <c r="B61" s="1071"/>
      <c r="C61" s="1071"/>
      <c r="D61" s="1071"/>
      <c r="E61" s="1071"/>
    </row>
    <row r="62" spans="1:6">
      <c r="A62" s="1070" t="s">
        <v>42</v>
      </c>
      <c r="B62" s="1070"/>
      <c r="C62" s="1070"/>
      <c r="D62" s="1070"/>
      <c r="E62" s="1070"/>
    </row>
    <row r="63" spans="1:6">
      <c r="A63" s="452"/>
      <c r="B63" s="452"/>
      <c r="C63" s="452"/>
      <c r="D63" s="452"/>
      <c r="E63" s="452"/>
    </row>
    <row r="64" spans="1:6">
      <c r="A64" s="452"/>
      <c r="B64" s="452"/>
      <c r="C64" s="452"/>
      <c r="D64" s="452"/>
      <c r="E64" s="452"/>
    </row>
    <row r="65" spans="1:5">
      <c r="A65" s="452"/>
      <c r="B65" s="452"/>
      <c r="C65" s="452"/>
      <c r="D65" s="452"/>
      <c r="E65" s="452"/>
    </row>
    <row r="66" spans="1:5">
      <c r="A66" s="452"/>
      <c r="B66" s="452"/>
      <c r="C66" s="452"/>
      <c r="D66" s="452"/>
      <c r="E66" s="452"/>
    </row>
    <row r="67" spans="1:5">
      <c r="A67" s="457"/>
      <c r="B67" s="452"/>
      <c r="C67" s="452"/>
      <c r="D67" s="452"/>
      <c r="E67" s="452"/>
    </row>
    <row r="68" spans="1:5">
      <c r="A68" s="1065" t="s">
        <v>664</v>
      </c>
      <c r="B68" s="1065"/>
      <c r="C68" s="1065"/>
      <c r="D68" s="1065"/>
      <c r="E68" s="1065"/>
    </row>
    <row r="69" spans="1:5">
      <c r="A69" s="1065" t="s">
        <v>665</v>
      </c>
      <c r="B69" s="1065"/>
      <c r="C69" s="1065"/>
      <c r="D69" s="1065"/>
      <c r="E69" s="1065"/>
    </row>
    <row r="70" spans="1:5">
      <c r="A70" s="457"/>
      <c r="B70" s="452"/>
      <c r="C70" s="452"/>
      <c r="D70" s="452"/>
      <c r="E70" s="452"/>
    </row>
    <row r="71" spans="1:5">
      <c r="A71" s="457"/>
      <c r="B71" s="452"/>
      <c r="C71" s="452"/>
      <c r="D71" s="452"/>
      <c r="E71" s="452"/>
    </row>
    <row r="72" spans="1:5">
      <c r="A72" s="457"/>
      <c r="B72" s="452"/>
      <c r="C72" s="452"/>
      <c r="D72" s="452"/>
      <c r="E72" s="452"/>
    </row>
    <row r="73" spans="1:5">
      <c r="A73" s="1066" t="s">
        <v>43</v>
      </c>
      <c r="B73" s="1066"/>
      <c r="C73" s="1066"/>
      <c r="D73" s="1066"/>
      <c r="E73" s="1066"/>
    </row>
    <row r="74" spans="1:5">
      <c r="A74" s="457"/>
      <c r="B74" s="452"/>
      <c r="C74" s="452"/>
      <c r="D74" s="452"/>
      <c r="E74" s="452"/>
    </row>
    <row r="75" spans="1:5">
      <c r="A75" s="457"/>
      <c r="B75" s="452"/>
      <c r="C75" s="452"/>
      <c r="D75" s="452"/>
      <c r="E75" s="452"/>
    </row>
    <row r="76" spans="1:5">
      <c r="A76" s="457"/>
      <c r="B76" s="452"/>
      <c r="C76" s="452"/>
      <c r="D76" s="452"/>
      <c r="E76" s="452"/>
    </row>
    <row r="77" spans="1:5">
      <c r="A77" s="457"/>
      <c r="B77" s="452"/>
      <c r="C77" s="452"/>
      <c r="D77" s="452"/>
      <c r="E77" s="452"/>
    </row>
    <row r="78" spans="1:5">
      <c r="A78" s="457"/>
      <c r="B78" s="452"/>
      <c r="C78" s="452"/>
      <c r="D78" s="452"/>
      <c r="E78" s="452"/>
    </row>
    <row r="79" spans="1:5">
      <c r="A79" s="458"/>
      <c r="B79" s="458"/>
      <c r="C79" s="452"/>
      <c r="D79" s="452"/>
      <c r="E79" s="452"/>
    </row>
    <row r="80" spans="1:5">
      <c r="A80" s="459" t="s">
        <v>16</v>
      </c>
      <c r="B80" s="452"/>
      <c r="C80" s="452"/>
      <c r="D80" s="452"/>
      <c r="E80" s="452"/>
    </row>
    <row r="81" spans="1:5">
      <c r="A81" s="459" t="s">
        <v>61</v>
      </c>
      <c r="B81" s="452"/>
      <c r="C81" s="452"/>
      <c r="D81" s="452"/>
      <c r="E81" s="452"/>
    </row>
    <row r="82" spans="1:5">
      <c r="A82" s="459" t="s">
        <v>62</v>
      </c>
      <c r="B82" s="452"/>
      <c r="C82" s="460"/>
      <c r="D82" s="461"/>
      <c r="E82" s="452"/>
    </row>
    <row r="83" spans="1:5">
      <c r="A83" s="462" t="s">
        <v>17</v>
      </c>
      <c r="B83" s="463"/>
      <c r="C83" s="452"/>
      <c r="D83" s="452"/>
      <c r="E83" s="452"/>
    </row>
    <row r="84" spans="1:5">
      <c r="A84" s="452"/>
      <c r="B84" s="452"/>
      <c r="C84" s="452"/>
      <c r="D84" s="452"/>
      <c r="E84" s="452"/>
    </row>
    <row r="85" spans="1:5">
      <c r="A85" s="77"/>
      <c r="B85" s="77"/>
      <c r="C85" s="77"/>
      <c r="D85" s="77"/>
      <c r="E85" s="77"/>
    </row>
    <row r="86" spans="1:5">
      <c r="A86" s="77"/>
      <c r="B86" s="77"/>
      <c r="C86" s="77"/>
      <c r="D86" s="77"/>
      <c r="E86" s="77"/>
    </row>
    <row r="87" spans="1:5">
      <c r="A87" s="77"/>
      <c r="B87" s="77"/>
      <c r="C87" s="77"/>
      <c r="D87" s="77"/>
      <c r="E87" s="77"/>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B1:W54"/>
  <sheetViews>
    <sheetView zoomScaleNormal="100" zoomScaleSheetLayoutView="50" workbookViewId="0">
      <selection activeCell="F29" sqref="F29"/>
    </sheetView>
  </sheetViews>
  <sheetFormatPr baseColWidth="10" defaultColWidth="10.90625" defaultRowHeight="12.75"/>
  <cols>
    <col min="1" max="1" width="2.1796875" style="153" customWidth="1"/>
    <col min="2" max="2" width="13.90625" style="13" customWidth="1"/>
    <col min="3" max="3" width="15.36328125" style="13" customWidth="1"/>
    <col min="4" max="7" width="8.36328125" style="13" customWidth="1"/>
    <col min="8" max="8" width="3.54296875" style="13" customWidth="1"/>
    <col min="9" max="9" width="4.08984375" style="153" customWidth="1"/>
    <col min="10" max="10" width="14.1796875" style="153" customWidth="1"/>
    <col min="11" max="11" width="4.08984375" style="153" customWidth="1"/>
    <col min="12" max="16384" width="10.90625" style="153"/>
  </cols>
  <sheetData>
    <row r="1" spans="2:23">
      <c r="B1" s="1107" t="s">
        <v>74</v>
      </c>
      <c r="C1" s="1107"/>
      <c r="D1" s="1107"/>
      <c r="E1" s="1107"/>
      <c r="F1" s="1107"/>
      <c r="G1" s="1107"/>
      <c r="H1" s="1107"/>
    </row>
    <row r="2" spans="2:23">
      <c r="B2" s="59"/>
      <c r="C2" s="59"/>
      <c r="D2" s="59"/>
      <c r="E2" s="59"/>
      <c r="F2" s="59"/>
      <c r="G2" s="59"/>
      <c r="H2" s="59"/>
    </row>
    <row r="3" spans="2:23" ht="18" customHeight="1">
      <c r="B3" s="1142" t="s">
        <v>424</v>
      </c>
      <c r="C3" s="1142"/>
      <c r="D3" s="1143"/>
      <c r="E3" s="1143"/>
      <c r="F3" s="1143"/>
      <c r="G3" s="1143"/>
      <c r="H3" s="63"/>
    </row>
    <row r="4" spans="2:23" s="29" customFormat="1" ht="45" customHeight="1">
      <c r="B4" s="1109" t="s">
        <v>485</v>
      </c>
      <c r="C4" s="1144"/>
      <c r="D4" s="1144"/>
      <c r="E4" s="1144"/>
      <c r="F4" s="1144"/>
      <c r="G4" s="1144"/>
    </row>
    <row r="5" spans="2:23" s="29" customFormat="1" ht="15" customHeight="1">
      <c r="B5" s="1145" t="s">
        <v>164</v>
      </c>
      <c r="C5" s="1145"/>
      <c r="D5" s="1146" t="s">
        <v>486</v>
      </c>
      <c r="E5" s="1145"/>
      <c r="F5" s="1145"/>
      <c r="G5" s="1145"/>
    </row>
    <row r="6" spans="2:23" s="29" customFormat="1" ht="30.95" customHeight="1">
      <c r="B6" s="1145"/>
      <c r="C6" s="1145"/>
      <c r="D6" s="793" t="s">
        <v>487</v>
      </c>
      <c r="E6" s="793" t="s">
        <v>487</v>
      </c>
      <c r="F6" s="793" t="s">
        <v>488</v>
      </c>
      <c r="G6" s="793" t="s">
        <v>488</v>
      </c>
    </row>
    <row r="7" spans="2:23" s="29" customFormat="1" ht="15.75" customHeight="1">
      <c r="B7" s="1125" t="s">
        <v>165</v>
      </c>
      <c r="C7" s="1125"/>
      <c r="D7" s="675">
        <v>85</v>
      </c>
      <c r="E7" s="678">
        <v>60</v>
      </c>
      <c r="F7" s="678">
        <v>70</v>
      </c>
      <c r="G7" s="680">
        <v>50</v>
      </c>
    </row>
    <row r="8" spans="2:23" s="29" customFormat="1" ht="15.75" customHeight="1">
      <c r="B8" s="1124" t="s">
        <v>97</v>
      </c>
      <c r="C8" s="1125"/>
      <c r="D8" s="676">
        <v>60200</v>
      </c>
      <c r="E8" s="679">
        <v>53200</v>
      </c>
      <c r="F8" s="679">
        <v>47600</v>
      </c>
      <c r="G8" s="674">
        <v>33600</v>
      </c>
    </row>
    <row r="9" spans="2:23" s="13" customFormat="1" ht="15.75" customHeight="1">
      <c r="B9" s="1124" t="s">
        <v>98</v>
      </c>
      <c r="C9" s="1125"/>
      <c r="D9" s="676">
        <v>309100</v>
      </c>
      <c r="E9" s="679">
        <v>281600</v>
      </c>
      <c r="F9" s="679">
        <v>263800</v>
      </c>
      <c r="G9" s="674">
        <v>249800</v>
      </c>
      <c r="I9" s="168"/>
      <c r="J9" s="169"/>
      <c r="K9" s="164"/>
      <c r="L9" s="164"/>
      <c r="M9" s="164"/>
      <c r="N9" s="164"/>
      <c r="O9" s="164"/>
      <c r="P9" s="164"/>
      <c r="Q9" s="164"/>
      <c r="R9" s="164"/>
      <c r="S9" s="164"/>
    </row>
    <row r="10" spans="2:23" s="13" customFormat="1" ht="15.75" customHeight="1">
      <c r="B10" s="1124" t="s">
        <v>72</v>
      </c>
      <c r="C10" s="1125"/>
      <c r="D10" s="676">
        <v>641480</v>
      </c>
      <c r="E10" s="679">
        <v>422600</v>
      </c>
      <c r="F10" s="679">
        <v>565470</v>
      </c>
      <c r="G10" s="674">
        <v>419970</v>
      </c>
      <c r="I10" s="168"/>
      <c r="J10" s="169"/>
      <c r="K10" s="164"/>
      <c r="L10" s="164"/>
      <c r="M10" s="164"/>
      <c r="N10" s="164"/>
      <c r="O10" s="164"/>
      <c r="P10" s="164"/>
      <c r="Q10" s="164"/>
      <c r="R10" s="164"/>
      <c r="S10" s="164"/>
    </row>
    <row r="11" spans="2:23" s="13" customFormat="1" ht="15.75" customHeight="1">
      <c r="B11" s="1126" t="s">
        <v>162</v>
      </c>
      <c r="C11" s="1127"/>
      <c r="D11" s="676">
        <f>50539+71639+180000</f>
        <v>302178</v>
      </c>
      <c r="E11" s="679">
        <f>37870+53681</f>
        <v>91551</v>
      </c>
      <c r="F11" s="679">
        <f>43844+62148</f>
        <v>105992</v>
      </c>
      <c r="G11" s="674">
        <f>35169+49851</f>
        <v>85020</v>
      </c>
      <c r="I11" s="168"/>
      <c r="J11" s="169"/>
      <c r="K11" s="164"/>
      <c r="L11" s="164"/>
      <c r="M11" s="164"/>
      <c r="N11" s="164"/>
      <c r="O11" s="164"/>
      <c r="P11" s="164"/>
      <c r="Q11" s="164"/>
      <c r="R11" s="164"/>
      <c r="S11" s="164"/>
    </row>
    <row r="12" spans="2:23" ht="15.75" customHeight="1">
      <c r="B12" s="1124" t="s">
        <v>99</v>
      </c>
      <c r="C12" s="1125"/>
      <c r="D12" s="676">
        <f>SUM(D8:D11)</f>
        <v>1312958</v>
      </c>
      <c r="E12" s="679">
        <f>SUM(E8:E11)</f>
        <v>848951</v>
      </c>
      <c r="F12" s="679">
        <f>SUM(F8:F11)</f>
        <v>982862</v>
      </c>
      <c r="G12" s="679">
        <f>SUM(G8:G11)</f>
        <v>788390</v>
      </c>
      <c r="I12" s="163"/>
      <c r="J12" s="159"/>
      <c r="K12" s="165"/>
      <c r="L12" s="165"/>
      <c r="M12" s="165"/>
      <c r="N12" s="165"/>
      <c r="O12" s="165"/>
      <c r="P12" s="165"/>
      <c r="Q12" s="165"/>
      <c r="R12" s="165"/>
      <c r="S12" s="165"/>
    </row>
    <row r="13" spans="2:23" ht="19.5" customHeight="1">
      <c r="B13" s="1124" t="s">
        <v>613</v>
      </c>
      <c r="C13" s="1129"/>
      <c r="D13" s="677">
        <v>16800</v>
      </c>
      <c r="E13" s="677">
        <v>16800</v>
      </c>
      <c r="F13" s="677">
        <v>16800</v>
      </c>
      <c r="G13" s="677">
        <v>16800</v>
      </c>
      <c r="I13" s="163"/>
      <c r="J13" s="159"/>
      <c r="K13" s="165"/>
      <c r="L13" s="165"/>
      <c r="M13" s="166"/>
      <c r="N13" s="166"/>
      <c r="O13" s="166"/>
      <c r="P13" s="166"/>
      <c r="Q13" s="166"/>
      <c r="R13" s="166"/>
      <c r="S13" s="166"/>
      <c r="T13" s="156"/>
      <c r="U13" s="156"/>
      <c r="V13" s="156"/>
      <c r="W13" s="156"/>
    </row>
    <row r="14" spans="2:23" ht="16.5" customHeight="1">
      <c r="B14" s="1134" t="s">
        <v>136</v>
      </c>
      <c r="C14" s="1135"/>
      <c r="D14" s="676">
        <f>D13*D7</f>
        <v>1428000</v>
      </c>
      <c r="E14" s="676">
        <f>E13*E7</f>
        <v>1008000</v>
      </c>
      <c r="F14" s="676">
        <f>F13*F7</f>
        <v>1176000</v>
      </c>
      <c r="G14" s="676">
        <f>G13*G7</f>
        <v>840000</v>
      </c>
      <c r="I14" s="163"/>
      <c r="J14" s="159"/>
      <c r="K14" s="165"/>
      <c r="L14" s="170"/>
      <c r="M14" s="162"/>
      <c r="N14" s="161"/>
      <c r="O14" s="161"/>
      <c r="P14" s="161"/>
      <c r="Q14" s="161"/>
      <c r="R14" s="161"/>
      <c r="S14" s="161"/>
      <c r="T14" s="157"/>
      <c r="U14" s="157"/>
      <c r="V14" s="157"/>
      <c r="W14" s="157"/>
    </row>
    <row r="15" spans="2:23" ht="16.5" customHeight="1">
      <c r="B15" s="1134" t="s">
        <v>73</v>
      </c>
      <c r="C15" s="1135"/>
      <c r="D15" s="676">
        <f>D14-D12</f>
        <v>115042</v>
      </c>
      <c r="E15" s="676">
        <f>E14-E12</f>
        <v>159049</v>
      </c>
      <c r="F15" s="676">
        <f>F14-F12</f>
        <v>193138</v>
      </c>
      <c r="G15" s="676">
        <f>G14-G12</f>
        <v>51610</v>
      </c>
      <c r="I15" s="163"/>
      <c r="J15" s="159"/>
      <c r="K15" s="165"/>
      <c r="L15" s="170"/>
      <c r="M15" s="162"/>
      <c r="N15" s="161"/>
      <c r="O15" s="161"/>
      <c r="P15" s="161"/>
      <c r="Q15" s="161"/>
      <c r="R15" s="161"/>
      <c r="S15" s="161"/>
      <c r="T15" s="157"/>
      <c r="U15" s="157"/>
      <c r="V15" s="157"/>
      <c r="W15" s="157"/>
    </row>
    <row r="16" spans="2:23" ht="16.5" customHeight="1">
      <c r="B16" s="1139"/>
      <c r="C16" s="1140"/>
      <c r="D16" s="1137"/>
      <c r="E16" s="1137"/>
      <c r="F16" s="1140"/>
      <c r="G16" s="1141"/>
      <c r="I16" s="163"/>
      <c r="J16" s="159"/>
      <c r="K16" s="165"/>
      <c r="L16" s="170"/>
      <c r="M16" s="171"/>
      <c r="N16" s="167"/>
      <c r="O16" s="167"/>
      <c r="P16" s="167"/>
      <c r="Q16" s="167"/>
      <c r="R16" s="167"/>
      <c r="S16" s="167"/>
      <c r="T16" s="155"/>
      <c r="U16" s="155"/>
      <c r="V16" s="155"/>
      <c r="W16" s="155"/>
    </row>
    <row r="17" spans="2:19" s="30" customFormat="1" ht="16.5" customHeight="1">
      <c r="B17" s="1137" t="s">
        <v>489</v>
      </c>
      <c r="C17" s="1137"/>
      <c r="D17" s="1137"/>
      <c r="E17" s="1137"/>
      <c r="F17" s="1137"/>
      <c r="G17" s="1137"/>
      <c r="H17" s="29"/>
      <c r="I17" s="172"/>
      <c r="J17" s="173"/>
      <c r="K17" s="174"/>
      <c r="L17" s="174"/>
      <c r="M17" s="174"/>
      <c r="N17" s="174"/>
      <c r="O17" s="174"/>
      <c r="P17" s="174"/>
      <c r="Q17" s="174"/>
      <c r="R17" s="174"/>
      <c r="S17" s="174"/>
    </row>
    <row r="18" spans="2:19" ht="30" customHeight="1">
      <c r="B18" s="88" t="s">
        <v>95</v>
      </c>
      <c r="C18" s="91" t="s">
        <v>513</v>
      </c>
      <c r="D18" s="89">
        <v>75</v>
      </c>
      <c r="E18" s="89">
        <v>80</v>
      </c>
      <c r="F18" s="89">
        <v>85</v>
      </c>
      <c r="G18" s="89">
        <v>90</v>
      </c>
      <c r="H18" s="47"/>
      <c r="I18" s="163"/>
      <c r="J18" s="159"/>
      <c r="K18" s="165"/>
      <c r="L18" s="175"/>
      <c r="M18" s="165"/>
      <c r="N18" s="165"/>
      <c r="O18" s="165"/>
      <c r="P18" s="165"/>
      <c r="Q18" s="165"/>
      <c r="R18" s="165"/>
      <c r="S18" s="165"/>
    </row>
    <row r="19" spans="2:19" ht="15.75" customHeight="1">
      <c r="B19" s="88" t="s">
        <v>93</v>
      </c>
      <c r="C19" s="88">
        <v>17523</v>
      </c>
      <c r="D19" s="89">
        <f t="shared" ref="D19:G20" si="0">(D$18*$C19)-$D$12</f>
        <v>1267</v>
      </c>
      <c r="E19" s="89">
        <f t="shared" si="0"/>
        <v>88882</v>
      </c>
      <c r="F19" s="89">
        <f t="shared" si="0"/>
        <v>176497</v>
      </c>
      <c r="G19" s="89">
        <f t="shared" si="0"/>
        <v>264112</v>
      </c>
      <c r="H19" s="97"/>
      <c r="I19" s="163"/>
      <c r="J19" s="161"/>
      <c r="K19" s="161"/>
      <c r="L19" s="165"/>
      <c r="M19" s="165"/>
      <c r="N19" s="165"/>
      <c r="O19" s="165"/>
      <c r="P19" s="165"/>
      <c r="Q19" s="165"/>
      <c r="R19" s="165"/>
      <c r="S19" s="165"/>
    </row>
    <row r="20" spans="2:19" ht="15.75" customHeight="1">
      <c r="B20" s="88" t="s">
        <v>94</v>
      </c>
      <c r="C20" s="88">
        <v>17809</v>
      </c>
      <c r="D20" s="89">
        <f t="shared" si="0"/>
        <v>22717</v>
      </c>
      <c r="E20" s="89">
        <f t="shared" si="0"/>
        <v>111762</v>
      </c>
      <c r="F20" s="89">
        <f t="shared" si="0"/>
        <v>200807</v>
      </c>
      <c r="G20" s="89">
        <f t="shared" si="0"/>
        <v>289852</v>
      </c>
      <c r="H20" s="97"/>
      <c r="I20" s="176"/>
      <c r="J20" s="161"/>
      <c r="K20" s="161"/>
      <c r="L20" s="165"/>
      <c r="M20" s="165"/>
      <c r="N20" s="165"/>
      <c r="O20" s="165"/>
      <c r="P20" s="165"/>
      <c r="Q20" s="165"/>
      <c r="R20" s="165"/>
      <c r="S20" s="165"/>
    </row>
    <row r="21" spans="2:19" ht="15.75" customHeight="1">
      <c r="B21" s="90" t="s">
        <v>181</v>
      </c>
      <c r="C21" s="90"/>
      <c r="D21" s="89">
        <f>$D$12/D18</f>
        <v>17506.106666666667</v>
      </c>
      <c r="E21" s="89">
        <f>$D$12/E18</f>
        <v>16411.974999999999</v>
      </c>
      <c r="F21" s="89">
        <f>$D$12/F18</f>
        <v>15446.564705882352</v>
      </c>
      <c r="G21" s="89">
        <f>$D$12/G18</f>
        <v>14588.422222222222</v>
      </c>
      <c r="H21" s="97"/>
      <c r="I21" s="176"/>
      <c r="J21" s="161"/>
      <c r="K21" s="161"/>
      <c r="L21" s="165"/>
      <c r="M21" s="165"/>
      <c r="N21" s="165"/>
      <c r="O21" s="165"/>
      <c r="P21" s="165"/>
      <c r="Q21" s="165"/>
      <c r="R21" s="165"/>
      <c r="S21" s="165"/>
    </row>
    <row r="22" spans="2:19" ht="15.75" customHeight="1">
      <c r="B22" s="1138" t="s">
        <v>169</v>
      </c>
      <c r="C22" s="1138"/>
      <c r="D22" s="1138"/>
      <c r="E22" s="1138"/>
      <c r="F22" s="1138"/>
      <c r="G22" s="1138"/>
      <c r="H22" s="97"/>
      <c r="I22" s="176"/>
      <c r="J22" s="161"/>
      <c r="K22" s="161"/>
      <c r="L22" s="165"/>
      <c r="M22" s="165"/>
      <c r="N22" s="165"/>
      <c r="O22" s="165"/>
      <c r="P22" s="165"/>
      <c r="Q22" s="165"/>
      <c r="R22" s="165"/>
      <c r="S22" s="165"/>
    </row>
    <row r="23" spans="2:19" ht="15.75" customHeight="1">
      <c r="B23" s="1136" t="s">
        <v>438</v>
      </c>
      <c r="C23" s="1136"/>
      <c r="D23" s="1136"/>
      <c r="E23" s="1136"/>
      <c r="F23" s="1136"/>
      <c r="G23" s="1136"/>
      <c r="H23" s="97"/>
      <c r="I23" s="176"/>
      <c r="J23" s="161"/>
      <c r="K23" s="161"/>
      <c r="L23" s="165"/>
      <c r="M23" s="165"/>
      <c r="N23" s="165"/>
      <c r="O23" s="165"/>
      <c r="P23" s="165"/>
      <c r="Q23" s="165"/>
      <c r="R23" s="165"/>
      <c r="S23" s="165"/>
    </row>
    <row r="24" spans="2:19" ht="15.75" customHeight="1">
      <c r="B24" s="1131" t="s">
        <v>451</v>
      </c>
      <c r="C24" s="1132"/>
      <c r="D24" s="1132"/>
      <c r="E24" s="1132"/>
      <c r="F24" s="1132"/>
      <c r="G24" s="1133"/>
      <c r="H24" s="97"/>
      <c r="I24" s="176"/>
      <c r="J24" s="161"/>
      <c r="K24" s="161"/>
      <c r="L24" s="165"/>
      <c r="M24" s="165"/>
      <c r="N24" s="165"/>
      <c r="O24" s="165"/>
      <c r="P24" s="165"/>
      <c r="Q24" s="165"/>
      <c r="R24" s="165"/>
      <c r="S24" s="165"/>
    </row>
    <row r="25" spans="2:19" ht="31.5" customHeight="1">
      <c r="B25" s="1130" t="s">
        <v>547</v>
      </c>
      <c r="C25" s="1130"/>
      <c r="D25" s="1130"/>
      <c r="E25" s="1130"/>
      <c r="F25" s="1130"/>
      <c r="G25" s="1130"/>
      <c r="H25" s="97"/>
      <c r="I25" s="176"/>
      <c r="J25" s="161"/>
      <c r="K25" s="161"/>
      <c r="L25" s="165"/>
      <c r="M25" s="165"/>
      <c r="N25" s="165"/>
      <c r="O25" s="165"/>
      <c r="P25" s="165"/>
      <c r="Q25" s="165"/>
      <c r="R25" s="165"/>
      <c r="S25" s="165"/>
    </row>
    <row r="26" spans="2:19" ht="15.75" customHeight="1">
      <c r="B26" s="1128" t="s">
        <v>161</v>
      </c>
      <c r="C26" s="1128"/>
      <c r="D26" s="1128"/>
      <c r="E26" s="1128"/>
      <c r="F26" s="1128"/>
      <c r="G26" s="1128"/>
      <c r="H26" s="97"/>
      <c r="I26" s="176"/>
      <c r="J26" s="161"/>
      <c r="K26" s="161"/>
      <c r="L26" s="50"/>
      <c r="M26" s="50"/>
      <c r="N26" s="163"/>
      <c r="O26" s="55"/>
      <c r="P26" s="165"/>
      <c r="Q26" s="165"/>
      <c r="R26" s="165"/>
      <c r="S26" s="165"/>
    </row>
    <row r="27" spans="2:19" ht="16.5" customHeight="1">
      <c r="C27" s="228"/>
      <c r="D27" s="154"/>
      <c r="E27" s="226"/>
      <c r="F27" s="226"/>
      <c r="G27" s="227"/>
      <c r="H27" s="97"/>
      <c r="I27" s="176"/>
      <c r="J27" s="161"/>
      <c r="K27" s="161"/>
      <c r="L27" s="50"/>
      <c r="M27" s="50"/>
      <c r="N27" s="163"/>
      <c r="O27" s="55"/>
      <c r="P27" s="165"/>
      <c r="Q27" s="165"/>
      <c r="R27" s="165"/>
      <c r="S27" s="165"/>
    </row>
    <row r="28" spans="2:19" ht="16.5" customHeight="1">
      <c r="C28" s="228"/>
      <c r="D28" s="154"/>
      <c r="E28" s="226"/>
      <c r="F28" s="226"/>
      <c r="G28" s="227"/>
      <c r="H28" s="97"/>
      <c r="I28" s="176"/>
      <c r="J28" s="161"/>
      <c r="K28" s="161"/>
      <c r="L28" s="50"/>
      <c r="M28" s="50"/>
      <c r="N28" s="163"/>
      <c r="O28" s="55"/>
      <c r="P28" s="165"/>
      <c r="Q28" s="165"/>
      <c r="R28" s="165"/>
      <c r="S28" s="165"/>
    </row>
    <row r="29" spans="2:19" ht="16.5" customHeight="1">
      <c r="C29" s="228"/>
      <c r="D29" s="154"/>
      <c r="E29" s="226"/>
      <c r="F29" s="226"/>
      <c r="G29" s="227"/>
      <c r="H29" s="97"/>
      <c r="I29" s="176"/>
      <c r="J29" s="176"/>
      <c r="K29" s="176"/>
      <c r="L29" s="74"/>
      <c r="M29" s="50"/>
      <c r="N29" s="163"/>
      <c r="O29" s="55"/>
      <c r="P29" s="165"/>
      <c r="Q29" s="165"/>
      <c r="R29" s="165"/>
      <c r="S29" s="165"/>
    </row>
    <row r="30" spans="2:19" ht="16.5" customHeight="1">
      <c r="C30" s="130"/>
      <c r="D30" s="62"/>
      <c r="E30" s="62"/>
      <c r="F30" s="153"/>
      <c r="G30" s="99"/>
      <c r="H30" s="97"/>
      <c r="I30" s="158"/>
      <c r="J30" s="159"/>
      <c r="K30" s="100"/>
      <c r="L30" s="50"/>
      <c r="M30" s="50"/>
      <c r="N30" s="163"/>
      <c r="O30" s="55"/>
      <c r="P30" s="165"/>
      <c r="Q30" s="165"/>
      <c r="R30" s="165"/>
      <c r="S30" s="165"/>
    </row>
    <row r="31" spans="2:19">
      <c r="C31" s="153"/>
      <c r="D31" s="153"/>
      <c r="E31" s="153"/>
      <c r="F31" s="153"/>
      <c r="G31" s="153"/>
    </row>
    <row r="32" spans="2:19">
      <c r="C32" s="153"/>
      <c r="D32" s="153"/>
      <c r="E32" s="153"/>
      <c r="F32" s="153"/>
      <c r="G32" s="153"/>
    </row>
    <row r="33" spans="3:7">
      <c r="C33" s="153"/>
      <c r="D33" s="153"/>
      <c r="E33" s="153"/>
      <c r="F33" s="153"/>
      <c r="G33" s="153"/>
    </row>
    <row r="34" spans="3:7">
      <c r="C34" s="153"/>
      <c r="D34" s="153"/>
      <c r="E34" s="153"/>
      <c r="F34" s="153"/>
      <c r="G34" s="153"/>
    </row>
    <row r="35" spans="3:7">
      <c r="C35" s="153"/>
      <c r="D35" s="153"/>
      <c r="E35" s="153"/>
      <c r="F35" s="153"/>
      <c r="G35" s="153"/>
    </row>
    <row r="36" spans="3:7">
      <c r="C36" s="153"/>
      <c r="D36" s="153"/>
      <c r="E36" s="153"/>
      <c r="F36" s="153"/>
      <c r="G36" s="153"/>
    </row>
    <row r="37" spans="3:7">
      <c r="C37" s="153"/>
      <c r="D37" s="153"/>
      <c r="E37" s="153"/>
      <c r="F37" s="153"/>
      <c r="G37" s="153"/>
    </row>
    <row r="38" spans="3:7">
      <c r="C38" s="153"/>
      <c r="D38" s="153"/>
      <c r="E38" s="153"/>
      <c r="F38" s="153"/>
      <c r="G38" s="153"/>
    </row>
    <row r="39" spans="3:7">
      <c r="C39" s="153"/>
      <c r="D39" s="153"/>
      <c r="E39" s="153"/>
      <c r="F39" s="153"/>
      <c r="G39" s="153"/>
    </row>
    <row r="53" spans="2:14">
      <c r="I53" s="13"/>
      <c r="J53" s="13"/>
      <c r="K53" s="13"/>
      <c r="L53" s="13"/>
      <c r="M53" s="13"/>
      <c r="N53" s="13"/>
    </row>
    <row r="54" spans="2:14" ht="30" customHeight="1">
      <c r="B54" s="220"/>
      <c r="I54" s="220"/>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1:P43"/>
  <sheetViews>
    <sheetView zoomScaleNormal="100" workbookViewId="0">
      <selection activeCell="N17" sqref="N17"/>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3" customFormat="1" ht="18" customHeight="1">
      <c r="B1" s="1147" t="s">
        <v>75</v>
      </c>
      <c r="C1" s="1147"/>
      <c r="D1" s="1147"/>
      <c r="E1" s="1147"/>
      <c r="F1" s="1147"/>
      <c r="G1" s="1147"/>
      <c r="H1" s="1147"/>
      <c r="I1" s="1147"/>
      <c r="J1" s="1147"/>
    </row>
    <row r="2" spans="2:16" s="23" customFormat="1" ht="12.75"/>
    <row r="3" spans="2:16" s="23" customFormat="1" ht="15.75" customHeight="1">
      <c r="B3" s="1152" t="s">
        <v>645</v>
      </c>
      <c r="C3" s="1152"/>
      <c r="D3" s="1152"/>
      <c r="E3" s="1152"/>
      <c r="F3" s="1152"/>
      <c r="G3" s="1152"/>
      <c r="H3" s="1152"/>
      <c r="I3" s="1152"/>
      <c r="J3" s="1152"/>
    </row>
    <row r="4" spans="2:16" s="23" customFormat="1" ht="15.75" customHeight="1">
      <c r="B4" s="1152" t="s">
        <v>643</v>
      </c>
      <c r="C4" s="1152"/>
      <c r="D4" s="1152"/>
      <c r="E4" s="1152"/>
      <c r="F4" s="1152"/>
      <c r="G4" s="1152"/>
      <c r="H4" s="1152"/>
      <c r="I4" s="1152"/>
      <c r="J4" s="1152"/>
    </row>
    <row r="5" spans="2:16" s="23" customFormat="1" ht="15.75" customHeight="1">
      <c r="B5" s="1158" t="s">
        <v>166</v>
      </c>
      <c r="C5" s="1158"/>
      <c r="D5" s="1159"/>
      <c r="E5" s="1158"/>
      <c r="F5" s="1158"/>
      <c r="G5" s="1158"/>
      <c r="H5" s="1158"/>
      <c r="I5" s="1158"/>
      <c r="J5" s="1158"/>
      <c r="K5" s="33"/>
    </row>
    <row r="6" spans="2:16" s="21" customFormat="1" ht="28.5" customHeight="1">
      <c r="B6" s="1148" t="s">
        <v>160</v>
      </c>
      <c r="C6" s="1151" t="s">
        <v>6</v>
      </c>
      <c r="D6" s="404" t="s">
        <v>35</v>
      </c>
      <c r="E6" s="1149" t="s">
        <v>10</v>
      </c>
      <c r="F6" s="404" t="s">
        <v>35</v>
      </c>
      <c r="G6" s="1153" t="s">
        <v>596</v>
      </c>
      <c r="H6" s="1150" t="s">
        <v>90</v>
      </c>
      <c r="I6" s="1153" t="s">
        <v>472</v>
      </c>
      <c r="J6" s="404" t="s">
        <v>35</v>
      </c>
      <c r="K6" s="33"/>
    </row>
    <row r="7" spans="2:16" s="21" customFormat="1" ht="12.75">
      <c r="B7" s="1148"/>
      <c r="C7" s="1150"/>
      <c r="D7" s="405" t="s">
        <v>36</v>
      </c>
      <c r="E7" s="1150"/>
      <c r="F7" s="405" t="s">
        <v>36</v>
      </c>
      <c r="G7" s="1154"/>
      <c r="H7" s="1150"/>
      <c r="I7" s="1154"/>
      <c r="J7" s="405" t="s">
        <v>36</v>
      </c>
      <c r="K7" s="33"/>
      <c r="L7" s="33"/>
    </row>
    <row r="8" spans="2:16" s="21" customFormat="1" ht="15.75" customHeight="1">
      <c r="B8" s="95">
        <v>2012</v>
      </c>
      <c r="C8" s="117">
        <v>1114411.3</v>
      </c>
      <c r="D8" s="118"/>
      <c r="E8" s="117">
        <v>816278.7</v>
      </c>
      <c r="F8" s="118"/>
      <c r="G8" s="118"/>
      <c r="H8" s="546" t="s">
        <v>644</v>
      </c>
      <c r="I8" s="119">
        <v>1930690</v>
      </c>
      <c r="J8" s="118"/>
      <c r="L8" s="33"/>
      <c r="N8" s="851"/>
      <c r="O8" s="739"/>
    </row>
    <row r="9" spans="2:16" s="21" customFormat="1" ht="15.75" customHeight="1">
      <c r="B9" s="95">
        <v>2013</v>
      </c>
      <c r="C9" s="117">
        <v>1365123.3</v>
      </c>
      <c r="D9" s="117">
        <v>122.49725931529947</v>
      </c>
      <c r="E9" s="117">
        <v>890021.89689999993</v>
      </c>
      <c r="F9" s="117">
        <v>109.03407094905208</v>
      </c>
      <c r="G9" s="118"/>
      <c r="H9" s="546" t="s">
        <v>644</v>
      </c>
      <c r="I9" s="119">
        <v>2255145.1968999999</v>
      </c>
      <c r="J9" s="117">
        <v>116.80514204248223</v>
      </c>
      <c r="N9" s="851"/>
      <c r="O9" s="739"/>
    </row>
    <row r="10" spans="2:16" s="21" customFormat="1" ht="15.75" customHeight="1">
      <c r="B10" s="95">
        <v>2014</v>
      </c>
      <c r="C10" s="117">
        <v>1236091.7399999998</v>
      </c>
      <c r="D10" s="117">
        <v>90.54799225828171</v>
      </c>
      <c r="E10" s="117">
        <v>746723.35245000001</v>
      </c>
      <c r="F10" s="117">
        <v>83.899436075773252</v>
      </c>
      <c r="G10" s="118"/>
      <c r="H10" s="546" t="s">
        <v>644</v>
      </c>
      <c r="I10" s="119">
        <v>1982815.0924499999</v>
      </c>
      <c r="J10" s="117">
        <v>87.924054520996947</v>
      </c>
      <c r="N10" s="851"/>
      <c r="O10" s="739"/>
    </row>
    <row r="11" spans="2:16" s="21" customFormat="1" ht="15.75" customHeight="1">
      <c r="B11" s="95">
        <v>2015</v>
      </c>
      <c r="C11" s="117">
        <v>1333212.5</v>
      </c>
      <c r="D11" s="117">
        <v>107.8570834879942</v>
      </c>
      <c r="E11" s="117">
        <v>735248.38600000006</v>
      </c>
      <c r="F11" s="117">
        <v>98.463290800756326</v>
      </c>
      <c r="G11" s="118"/>
      <c r="H11" s="546" t="s">
        <v>644</v>
      </c>
      <c r="I11" s="119">
        <v>2068460.8859999999</v>
      </c>
      <c r="J11" s="117">
        <v>104.31940395633032</v>
      </c>
      <c r="N11" s="851"/>
      <c r="O11" s="739"/>
      <c r="P11" s="51"/>
    </row>
    <row r="12" spans="2:16" s="21" customFormat="1" ht="15.75" customHeight="1">
      <c r="B12" s="95">
        <v>2016</v>
      </c>
      <c r="C12" s="117">
        <v>1531005.6</v>
      </c>
      <c r="D12" s="117">
        <v>114.8358269968216</v>
      </c>
      <c r="E12" s="117">
        <v>651573.38222000003</v>
      </c>
      <c r="F12" s="117">
        <v>88.619491674749483</v>
      </c>
      <c r="G12" s="118"/>
      <c r="H12" s="546" t="s">
        <v>644</v>
      </c>
      <c r="I12" s="119">
        <v>2182578.9822200001</v>
      </c>
      <c r="J12" s="117">
        <v>105.51705362148194</v>
      </c>
      <c r="N12" s="867"/>
      <c r="O12" s="739"/>
      <c r="P12" s="51"/>
    </row>
    <row r="13" spans="2:16" s="21" customFormat="1" ht="15.75" customHeight="1">
      <c r="B13" s="95">
        <v>2017</v>
      </c>
      <c r="C13" s="117">
        <v>1221269.1400000001</v>
      </c>
      <c r="D13" s="117">
        <v>79.769083796950184</v>
      </c>
      <c r="E13" s="117">
        <v>1054976.7991500001</v>
      </c>
      <c r="F13" s="117">
        <v>161.91220021228449</v>
      </c>
      <c r="G13" s="118"/>
      <c r="H13" s="546" t="s">
        <v>644</v>
      </c>
      <c r="I13" s="119">
        <v>2276245.93915</v>
      </c>
      <c r="J13" s="117">
        <f t="shared" ref="J13:J14" si="0">I13/I12*100</f>
        <v>104.29157238720987</v>
      </c>
      <c r="N13" s="867"/>
      <c r="O13" s="739"/>
      <c r="P13" s="51"/>
    </row>
    <row r="14" spans="2:16" s="21" customFormat="1" ht="15.75" customHeight="1">
      <c r="B14" s="95">
        <v>2018</v>
      </c>
      <c r="C14" s="117">
        <v>1281339.7</v>
      </c>
      <c r="D14" s="117">
        <f t="shared" ref="D14:D15" si="1">C14/C13*100</f>
        <v>104.91869957509938</v>
      </c>
      <c r="E14" s="537">
        <v>1131992.5744099999</v>
      </c>
      <c r="F14" s="117">
        <f t="shared" ref="F14:F15" si="2">E14/E13*100</f>
        <v>107.30023402619393</v>
      </c>
      <c r="G14" s="117">
        <v>258213</v>
      </c>
      <c r="H14" s="547" t="s">
        <v>644</v>
      </c>
      <c r="I14" s="119">
        <v>2671545.2744100001</v>
      </c>
      <c r="J14" s="117">
        <f t="shared" si="0"/>
        <v>117.36628404080156</v>
      </c>
      <c r="N14" s="867"/>
      <c r="O14" s="739"/>
      <c r="P14" s="51"/>
    </row>
    <row r="15" spans="2:16" s="21" customFormat="1" ht="15.75" customHeight="1">
      <c r="B15" s="95">
        <v>2019</v>
      </c>
      <c r="C15" s="117">
        <v>1204856.2</v>
      </c>
      <c r="D15" s="117">
        <f t="shared" si="1"/>
        <v>94.030973987616235</v>
      </c>
      <c r="E15" s="537">
        <v>1144211.3389999999</v>
      </c>
      <c r="F15" s="117">
        <f t="shared" si="2"/>
        <v>101.07940324576496</v>
      </c>
      <c r="G15" s="117">
        <v>234835</v>
      </c>
      <c r="H15" s="547" t="s">
        <v>644</v>
      </c>
      <c r="I15" s="119">
        <f>C15+E15+G15</f>
        <v>2583902.5389999999</v>
      </c>
      <c r="J15" s="117">
        <f>I15/I14*100</f>
        <v>96.719399208783557</v>
      </c>
      <c r="M15" s="866"/>
      <c r="N15" s="867"/>
      <c r="O15" s="739"/>
      <c r="P15" s="51"/>
    </row>
    <row r="16" spans="2:16" s="21" customFormat="1" ht="15.75" customHeight="1">
      <c r="B16" s="95">
        <v>2020</v>
      </c>
      <c r="C16" s="537">
        <v>1086140.1000000001</v>
      </c>
      <c r="D16" s="117">
        <f>C16/C15*100</f>
        <v>90.146865659155011</v>
      </c>
      <c r="E16" s="773">
        <f>'12'!E19</f>
        <v>1136918.7700699999</v>
      </c>
      <c r="F16" s="117">
        <f>E16/E15*100</f>
        <v>99.362655421998042</v>
      </c>
      <c r="G16" s="117">
        <v>223104</v>
      </c>
      <c r="H16" s="547" t="s">
        <v>644</v>
      </c>
      <c r="I16" s="119">
        <f>C16+E16+G16</f>
        <v>2446162.8700700002</v>
      </c>
      <c r="J16" s="117">
        <f>I16/I15*100</f>
        <v>94.669316398314834</v>
      </c>
      <c r="M16" s="137"/>
      <c r="N16" s="867"/>
    </row>
    <row r="17" spans="1:15" s="21" customFormat="1" ht="51.75" customHeight="1">
      <c r="B17" s="1155" t="s">
        <v>716</v>
      </c>
      <c r="C17" s="1156"/>
      <c r="D17" s="1156"/>
      <c r="E17" s="1156"/>
      <c r="F17" s="1156"/>
      <c r="G17" s="1156"/>
      <c r="H17" s="1156"/>
      <c r="I17" s="1156"/>
      <c r="J17" s="1157"/>
    </row>
    <row r="18" spans="1:15" ht="15" customHeight="1"/>
    <row r="19" spans="1:15" ht="15.75" customHeight="1"/>
    <row r="20" spans="1:15" ht="15" customHeight="1"/>
    <row r="21" spans="1:15" ht="15" customHeight="1"/>
    <row r="22" spans="1:15" ht="15" customHeight="1"/>
    <row r="23" spans="1:15" ht="15" customHeight="1">
      <c r="O23" s="772"/>
    </row>
    <row r="24" spans="1:15" ht="15" customHeight="1"/>
    <row r="25" spans="1:15" ht="15" customHeight="1">
      <c r="A25" s="16"/>
      <c r="B25" s="16"/>
      <c r="C25" s="16"/>
      <c r="D25" s="16"/>
      <c r="E25" s="16"/>
      <c r="J25" s="17"/>
    </row>
    <row r="26" spans="1:15" ht="15" customHeight="1">
      <c r="B26" s="16"/>
      <c r="C26" s="16"/>
      <c r="D26" s="16"/>
      <c r="E26" s="16"/>
      <c r="J26" s="18"/>
      <c r="N26" s="2"/>
      <c r="O26" s="3"/>
    </row>
    <row r="27" spans="1:15" ht="15" customHeight="1">
      <c r="N27" s="75"/>
      <c r="O27" s="3"/>
    </row>
    <row r="28" spans="1:15" ht="15" customHeight="1">
      <c r="N28" s="75"/>
      <c r="O28" s="3"/>
    </row>
    <row r="29" spans="1:15" ht="15" customHeight="1">
      <c r="N29" s="2"/>
    </row>
    <row r="30" spans="1:15" ht="15" customHeight="1">
      <c r="N30" s="2"/>
    </row>
    <row r="31" spans="1:15" ht="15" customHeight="1">
      <c r="N31" s="2"/>
    </row>
    <row r="32" spans="1:15" ht="18" customHeight="1">
      <c r="L32" s="34"/>
      <c r="N32" s="2"/>
    </row>
    <row r="33" spans="2:14" ht="7.5" customHeight="1"/>
    <row r="34" spans="2:14" ht="7.5" customHeight="1"/>
    <row r="43" spans="2:14">
      <c r="B43" s="16"/>
      <c r="C43" s="16"/>
      <c r="D43" s="16"/>
      <c r="E43" s="16"/>
      <c r="F43" s="16"/>
      <c r="G43" s="16"/>
      <c r="H43" s="16"/>
      <c r="I43" s="16"/>
      <c r="J43" s="16"/>
      <c r="K43" s="16"/>
      <c r="L43" s="16"/>
      <c r="M43" s="16"/>
      <c r="N43"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7:J17"/>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6"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O51"/>
  <sheetViews>
    <sheetView zoomScaleNormal="100" workbookViewId="0">
      <selection activeCell="B20" sqref="B20:F20"/>
    </sheetView>
  </sheetViews>
  <sheetFormatPr baseColWidth="10" defaultColWidth="10.90625" defaultRowHeight="18"/>
  <cols>
    <col min="1" max="1" width="1.36328125" style="1" customWidth="1"/>
    <col min="2" max="2" width="13.90625" customWidth="1"/>
    <col min="3" max="6" width="12.08984375" customWidth="1"/>
    <col min="7" max="16384" width="10.90625" style="1"/>
  </cols>
  <sheetData>
    <row r="1" spans="1:15" s="23" customFormat="1" ht="16.5" customHeight="1">
      <c r="B1" s="1104" t="s">
        <v>4</v>
      </c>
      <c r="C1" s="1104"/>
      <c r="D1" s="1104"/>
      <c r="E1" s="1104"/>
      <c r="F1" s="1104"/>
    </row>
    <row r="2" spans="1:15" s="23" customFormat="1" ht="11.25" customHeight="1">
      <c r="A2" s="25"/>
      <c r="B2" s="25"/>
      <c r="C2" s="25"/>
      <c r="D2" s="24"/>
      <c r="E2" s="24"/>
      <c r="F2" s="24"/>
    </row>
    <row r="3" spans="1:15" s="23" customFormat="1" ht="15.75" customHeight="1">
      <c r="B3" s="1104" t="s">
        <v>454</v>
      </c>
      <c r="C3" s="1104"/>
      <c r="D3" s="1104"/>
      <c r="E3" s="1104"/>
      <c r="F3" s="1104"/>
    </row>
    <row r="4" spans="1:15" s="23" customFormat="1" ht="15.75" customHeight="1">
      <c r="B4" s="1160" t="s">
        <v>675</v>
      </c>
      <c r="C4" s="1160"/>
      <c r="D4" s="1160"/>
      <c r="E4" s="1160"/>
      <c r="F4" s="1160"/>
    </row>
    <row r="5" spans="1:15" s="23" customFormat="1" ht="15.75" customHeight="1">
      <c r="B5" s="1160" t="s">
        <v>166</v>
      </c>
      <c r="C5" s="1160"/>
      <c r="D5" s="1160"/>
      <c r="E5" s="1160"/>
      <c r="F5" s="1160"/>
      <c r="G5" s="33"/>
    </row>
    <row r="6" spans="1:15" s="21" customFormat="1" ht="15.75" customHeight="1">
      <c r="B6" s="949" t="s">
        <v>163</v>
      </c>
      <c r="C6" s="412">
        <v>2018</v>
      </c>
      <c r="D6" s="412">
        <v>2019</v>
      </c>
      <c r="E6" s="412">
        <v>2020</v>
      </c>
      <c r="F6" s="412">
        <v>2021</v>
      </c>
      <c r="G6" s="33"/>
      <c r="H6" s="37"/>
      <c r="I6" s="37"/>
      <c r="K6" s="122"/>
    </row>
    <row r="7" spans="1:15" s="21" customFormat="1" ht="15.75" customHeight="1">
      <c r="B7" s="186" t="str">
        <f>'13'!B8</f>
        <v>Enero</v>
      </c>
      <c r="C7" s="121">
        <v>100066.55</v>
      </c>
      <c r="D7" s="121">
        <v>110928.26</v>
      </c>
      <c r="E7" s="121">
        <v>96514.718999999997</v>
      </c>
      <c r="F7" s="121">
        <v>63398.959000000003</v>
      </c>
      <c r="G7" s="137"/>
      <c r="H7" s="137"/>
      <c r="I7" s="207"/>
      <c r="J7" s="207"/>
      <c r="K7" s="207"/>
      <c r="L7" s="137"/>
      <c r="M7" s="137"/>
      <c r="N7" s="137"/>
      <c r="O7" s="137"/>
    </row>
    <row r="8" spans="1:15" s="21" customFormat="1" ht="15.75" customHeight="1">
      <c r="B8" s="186" t="s">
        <v>135</v>
      </c>
      <c r="C8" s="121">
        <v>32375.59</v>
      </c>
      <c r="D8" s="121">
        <v>130574.61</v>
      </c>
      <c r="E8" s="121">
        <v>69539.14</v>
      </c>
      <c r="F8" s="121">
        <v>79487.328999999998</v>
      </c>
      <c r="H8" s="37"/>
      <c r="I8" s="18"/>
      <c r="J8" s="207"/>
      <c r="K8" s="207"/>
      <c r="L8" s="137"/>
      <c r="M8" s="137"/>
      <c r="N8" s="137"/>
      <c r="O8" s="137"/>
    </row>
    <row r="9" spans="1:15" s="21" customFormat="1" ht="15.75" customHeight="1">
      <c r="B9" s="186" t="str">
        <f>'13'!B10</f>
        <v>Marzo</v>
      </c>
      <c r="C9" s="121">
        <v>98255.790999999997</v>
      </c>
      <c r="D9" s="121">
        <v>58957.94</v>
      </c>
      <c r="E9" s="121">
        <v>119307.88800000001</v>
      </c>
      <c r="F9" s="950"/>
      <c r="G9" s="137"/>
      <c r="H9" s="137"/>
      <c r="I9" s="207"/>
      <c r="J9" s="207"/>
      <c r="K9" s="207"/>
      <c r="L9" s="137"/>
      <c r="M9" s="137"/>
      <c r="N9" s="137"/>
      <c r="O9" s="137"/>
    </row>
    <row r="10" spans="1:15" s="21" customFormat="1" ht="15.75" customHeight="1">
      <c r="B10" s="186" t="str">
        <f>'13'!B11</f>
        <v>Abril</v>
      </c>
      <c r="C10" s="121">
        <v>89868.4</v>
      </c>
      <c r="D10" s="121">
        <v>117091.58500000001</v>
      </c>
      <c r="E10" s="121">
        <v>124223.18</v>
      </c>
      <c r="F10" s="950"/>
      <c r="G10" s="137"/>
      <c r="H10" s="137"/>
      <c r="I10" s="207"/>
      <c r="J10" s="207"/>
      <c r="K10" s="207"/>
      <c r="L10" s="137"/>
      <c r="M10" s="137"/>
      <c r="N10" s="137"/>
      <c r="O10" s="137"/>
    </row>
    <row r="11" spans="1:15" s="21" customFormat="1" ht="15.75" customHeight="1">
      <c r="B11" s="186" t="str">
        <f>'13'!B12</f>
        <v>Mayo</v>
      </c>
      <c r="C11" s="121">
        <v>130281.515</v>
      </c>
      <c r="D11" s="121">
        <v>90954.182000000001</v>
      </c>
      <c r="E11" s="121">
        <v>62552.36</v>
      </c>
      <c r="F11" s="950"/>
      <c r="G11" s="137"/>
      <c r="H11" s="207"/>
      <c r="I11" s="207"/>
      <c r="J11" s="207"/>
      <c r="K11" s="207"/>
      <c r="L11" s="137"/>
      <c r="M11" s="137"/>
      <c r="N11" s="137"/>
      <c r="O11" s="137"/>
    </row>
    <row r="12" spans="1:15" s="21" customFormat="1" ht="15.75" customHeight="1">
      <c r="B12" s="186" t="str">
        <f>'13'!B13</f>
        <v>Junio</v>
      </c>
      <c r="C12" s="121">
        <v>125274.86</v>
      </c>
      <c r="D12" s="121">
        <v>47586.582000000002</v>
      </c>
      <c r="E12" s="121">
        <v>13641.522000000001</v>
      </c>
      <c r="F12" s="950"/>
      <c r="G12" s="137"/>
      <c r="H12" s="207"/>
      <c r="I12" s="207"/>
      <c r="J12" s="207"/>
      <c r="K12" s="207"/>
      <c r="L12" s="137"/>
      <c r="M12" s="137"/>
      <c r="N12" s="137"/>
      <c r="O12" s="137"/>
    </row>
    <row r="13" spans="1:15" s="21" customFormat="1" ht="15.75" customHeight="1">
      <c r="B13" s="186" t="str">
        <f>'13'!B14</f>
        <v>Julio</v>
      </c>
      <c r="C13" s="121">
        <v>74378.89</v>
      </c>
      <c r="D13" s="121">
        <v>112338.01</v>
      </c>
      <c r="E13" s="121">
        <v>123117.16</v>
      </c>
      <c r="F13" s="950"/>
      <c r="G13" s="98"/>
      <c r="H13" s="207"/>
      <c r="I13" s="207"/>
      <c r="J13" s="207"/>
      <c r="K13" s="207"/>
      <c r="L13" s="137"/>
      <c r="M13" s="137"/>
      <c r="N13" s="137"/>
      <c r="O13" s="137"/>
    </row>
    <row r="14" spans="1:15" s="21" customFormat="1" ht="15.75" customHeight="1">
      <c r="B14" s="186" t="str">
        <f>'13'!B15</f>
        <v>Agosto</v>
      </c>
      <c r="C14" s="121">
        <v>19843.32</v>
      </c>
      <c r="D14" s="121">
        <v>92228.86</v>
      </c>
      <c r="E14" s="121">
        <v>92572.023770000014</v>
      </c>
      <c r="F14" s="950"/>
      <c r="G14" s="218"/>
      <c r="H14" s="207"/>
      <c r="I14" s="207"/>
      <c r="J14" s="207"/>
      <c r="K14" s="207"/>
      <c r="L14" s="137"/>
      <c r="M14" s="137"/>
      <c r="N14" s="137"/>
      <c r="O14" s="137"/>
    </row>
    <row r="15" spans="1:15" s="21" customFormat="1" ht="15.75" customHeight="1">
      <c r="B15" s="186" t="str">
        <f>'13'!B16</f>
        <v>Septiembre</v>
      </c>
      <c r="C15" s="121">
        <v>77654.850000000006</v>
      </c>
      <c r="D15" s="121">
        <v>139531.95000000001</v>
      </c>
      <c r="E15" s="121">
        <v>98529.35</v>
      </c>
      <c r="F15" s="950"/>
      <c r="G15" s="98"/>
      <c r="H15" s="207"/>
      <c r="I15" s="207"/>
      <c r="J15" s="207"/>
      <c r="K15" s="207"/>
      <c r="L15" s="137"/>
      <c r="M15" s="137"/>
      <c r="N15" s="137"/>
      <c r="O15" s="137"/>
    </row>
    <row r="16" spans="1:15" s="21" customFormat="1" ht="15.75" customHeight="1">
      <c r="B16" s="186" t="str">
        <f>'13'!B17</f>
        <v>Octubre</v>
      </c>
      <c r="C16" s="121">
        <v>70782.711599999995</v>
      </c>
      <c r="D16" s="121">
        <v>45828.93</v>
      </c>
      <c r="E16" s="121">
        <v>155516.505</v>
      </c>
      <c r="F16" s="950"/>
      <c r="G16" s="23"/>
      <c r="H16" s="207"/>
      <c r="I16" s="207"/>
      <c r="J16" s="207"/>
      <c r="K16" s="207"/>
      <c r="L16" s="137"/>
      <c r="M16" s="137"/>
      <c r="N16" s="137"/>
      <c r="O16" s="137"/>
    </row>
    <row r="17" spans="1:15" s="21" customFormat="1" ht="15.75" customHeight="1">
      <c r="B17" s="186" t="s">
        <v>55</v>
      </c>
      <c r="C17" s="121">
        <v>104883.17567</v>
      </c>
      <c r="D17" s="121">
        <v>84061.69</v>
      </c>
      <c r="E17" s="121">
        <v>85724.653000000006</v>
      </c>
      <c r="F17" s="950"/>
      <c r="G17" s="98"/>
      <c r="H17" s="207"/>
      <c r="I17" s="207"/>
      <c r="J17" s="207"/>
      <c r="K17" s="208"/>
      <c r="L17" s="137"/>
      <c r="M17" s="137"/>
      <c r="N17" s="137"/>
      <c r="O17" s="137"/>
    </row>
    <row r="18" spans="1:15" s="21" customFormat="1" ht="15.75" customHeight="1">
      <c r="B18" s="39" t="s">
        <v>56</v>
      </c>
      <c r="C18" s="121">
        <v>146130.49</v>
      </c>
      <c r="D18" s="121">
        <v>85715.07</v>
      </c>
      <c r="E18" s="121">
        <v>95680.2693</v>
      </c>
      <c r="F18" s="950"/>
      <c r="G18" s="98"/>
      <c r="H18" s="207"/>
      <c r="I18" s="207"/>
      <c r="J18" s="207"/>
      <c r="K18" s="137"/>
      <c r="L18" s="137"/>
      <c r="M18" s="137"/>
      <c r="N18" s="137"/>
      <c r="O18" s="137"/>
    </row>
    <row r="19" spans="1:15" s="21" customFormat="1" ht="15.75" customHeight="1">
      <c r="B19" s="39" t="s">
        <v>64</v>
      </c>
      <c r="C19" s="120">
        <f>SUM(C7:C18)</f>
        <v>1069796.1432699999</v>
      </c>
      <c r="D19" s="120">
        <f t="shared" ref="D19:F19" si="0">SUM(D7:D18)</f>
        <v>1115797.6690000002</v>
      </c>
      <c r="E19" s="120">
        <f t="shared" si="0"/>
        <v>1136918.7700699999</v>
      </c>
      <c r="F19" s="120">
        <f t="shared" si="0"/>
        <v>142886.288</v>
      </c>
      <c r="G19" s="137"/>
      <c r="H19" s="37"/>
      <c r="I19" s="37"/>
      <c r="J19" s="37"/>
    </row>
    <row r="20" spans="1:15" ht="53.25" customHeight="1">
      <c r="B20" s="1110" t="s">
        <v>718</v>
      </c>
      <c r="C20" s="1110"/>
      <c r="D20" s="1110"/>
      <c r="E20" s="1110"/>
      <c r="F20" s="1110"/>
      <c r="G20" s="56"/>
      <c r="H20" s="56"/>
    </row>
    <row r="21" spans="1:15" ht="12">
      <c r="B21" s="42"/>
      <c r="C21" s="42"/>
      <c r="D21" s="42"/>
      <c r="E21" s="42"/>
      <c r="F21" s="42"/>
    </row>
    <row r="22" spans="1:15" ht="42" customHeight="1">
      <c r="B22" s="1"/>
      <c r="C22" s="1"/>
      <c r="D22" s="1"/>
      <c r="E22" s="1"/>
      <c r="F22" s="1"/>
    </row>
    <row r="23" spans="1:15" ht="12">
      <c r="B23" s="1"/>
      <c r="C23" s="1"/>
      <c r="D23" s="1"/>
      <c r="E23" s="1"/>
      <c r="F23" s="1"/>
    </row>
    <row r="24" spans="1:15" ht="12">
      <c r="B24" s="1"/>
      <c r="C24" s="1"/>
      <c r="D24" s="1"/>
      <c r="E24" s="1"/>
      <c r="F24" s="1"/>
    </row>
    <row r="25" spans="1:15" ht="12">
      <c r="B25" s="1"/>
      <c r="C25" s="1"/>
      <c r="D25" s="1"/>
      <c r="E25" s="1"/>
      <c r="F25" s="1"/>
    </row>
    <row r="26" spans="1:15" ht="12">
      <c r="A26" s="16"/>
      <c r="B26" s="16"/>
      <c r="C26" s="16"/>
      <c r="D26" s="16"/>
      <c r="E26" s="16"/>
      <c r="F26" s="1"/>
    </row>
    <row r="27" spans="1:15" ht="12">
      <c r="B27" s="16"/>
      <c r="C27" s="16"/>
      <c r="D27" s="16"/>
      <c r="E27" s="16"/>
      <c r="F27" s="1"/>
    </row>
    <row r="28" spans="1:15" ht="12">
      <c r="B28" s="1"/>
      <c r="C28" s="1"/>
      <c r="D28" s="1"/>
      <c r="E28" s="1"/>
      <c r="F28" s="1"/>
    </row>
    <row r="29" spans="1:15" ht="12">
      <c r="B29" s="1"/>
      <c r="C29" s="1"/>
      <c r="D29" s="1"/>
      <c r="E29" s="1"/>
      <c r="F29" s="1"/>
    </row>
    <row r="30" spans="1:15" ht="12">
      <c r="B30" s="1"/>
      <c r="C30" s="1"/>
      <c r="D30" s="1"/>
      <c r="E30" s="1"/>
      <c r="F30" s="1"/>
    </row>
    <row r="31" spans="1:15" ht="12">
      <c r="B31" s="1"/>
      <c r="C31" s="1"/>
      <c r="D31" s="1"/>
      <c r="E31" s="1"/>
      <c r="F31" s="1"/>
    </row>
    <row r="32" spans="1:15"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77"/>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1:W51"/>
  <sheetViews>
    <sheetView zoomScaleNormal="100" workbookViewId="0">
      <selection activeCell="N14" sqref="N14"/>
    </sheetView>
  </sheetViews>
  <sheetFormatPr baseColWidth="10" defaultColWidth="10.90625" defaultRowHeight="12"/>
  <cols>
    <col min="1" max="1" width="1.6328125" style="1" customWidth="1"/>
    <col min="2" max="2" width="8.26953125" style="1" customWidth="1"/>
    <col min="3" max="10" width="6.36328125" style="1" customWidth="1"/>
    <col min="11" max="11" width="4.7265625" style="1" customWidth="1"/>
    <col min="12" max="12" width="1.453125" style="16" customWidth="1"/>
    <col min="13" max="13" width="9.36328125" style="890" customWidth="1"/>
    <col min="14" max="14" width="7.6328125" style="972" customWidth="1"/>
    <col min="15" max="15" width="6.26953125" style="972" customWidth="1"/>
    <col min="16" max="16" width="6.453125" style="972" bestFit="1" customWidth="1"/>
    <col min="17" max="17" width="5.26953125" style="972" customWidth="1"/>
    <col min="18" max="18" width="10.90625" style="758"/>
    <col min="19" max="21" width="10.90625" style="113"/>
    <col min="22" max="22" width="4.7265625" style="113" customWidth="1"/>
    <col min="23" max="16384" width="10.90625" style="1"/>
  </cols>
  <sheetData>
    <row r="1" spans="2:23" s="23" customFormat="1" ht="12.75">
      <c r="B1" s="1104" t="s">
        <v>38</v>
      </c>
      <c r="C1" s="1104"/>
      <c r="D1" s="1104"/>
      <c r="E1" s="1104"/>
      <c r="F1" s="1104"/>
      <c r="G1" s="1104"/>
      <c r="H1" s="1104"/>
      <c r="I1" s="1104"/>
      <c r="J1" s="1104"/>
      <c r="K1" s="1104"/>
      <c r="L1" s="26"/>
      <c r="M1" s="601"/>
      <c r="N1" s="603" t="str">
        <f>C6</f>
        <v>Argentina</v>
      </c>
      <c r="O1" s="603" t="str">
        <f>E6</f>
        <v>Canadá</v>
      </c>
      <c r="P1" s="603" t="str">
        <f>G6</f>
        <v>EE.UU.</v>
      </c>
      <c r="Q1" s="962" t="s">
        <v>59</v>
      </c>
      <c r="R1" s="603"/>
      <c r="S1" s="107"/>
      <c r="T1" s="107"/>
      <c r="U1" s="107"/>
      <c r="V1" s="107"/>
    </row>
    <row r="2" spans="2:23" s="23" customFormat="1" ht="18">
      <c r="B2" s="25"/>
      <c r="C2" s="25"/>
      <c r="D2" s="25"/>
      <c r="E2" s="25"/>
      <c r="F2" s="25"/>
      <c r="G2" s="25"/>
      <c r="H2" s="25"/>
      <c r="I2" s="38"/>
      <c r="J2" s="38"/>
      <c r="K2" s="18"/>
      <c r="L2" s="26"/>
      <c r="M2" s="601"/>
      <c r="N2" s="963">
        <f>+D21</f>
        <v>0.66134530697585203</v>
      </c>
      <c r="O2" s="963">
        <f>+F21</f>
        <v>0.13828060254459126</v>
      </c>
      <c r="P2" s="963">
        <f>+H21</f>
        <v>0.20023831817927834</v>
      </c>
      <c r="Q2" s="964">
        <f>1-N2-O2-P2</f>
        <v>1.3577230027836396E-4</v>
      </c>
      <c r="R2" s="603"/>
      <c r="S2" s="107"/>
      <c r="T2" s="107"/>
      <c r="U2" s="107"/>
      <c r="V2" s="107"/>
    </row>
    <row r="3" spans="2:23" s="23" customFormat="1" ht="12.75">
      <c r="B3" s="1104" t="s">
        <v>377</v>
      </c>
      <c r="C3" s="1104"/>
      <c r="D3" s="1104"/>
      <c r="E3" s="1104"/>
      <c r="F3" s="1104"/>
      <c r="G3" s="1104"/>
      <c r="H3" s="1104"/>
      <c r="I3" s="1104"/>
      <c r="J3" s="1104"/>
      <c r="K3" s="1104"/>
      <c r="L3" s="26"/>
      <c r="M3" s="602"/>
      <c r="N3" s="965"/>
      <c r="O3" s="965"/>
      <c r="P3" s="965"/>
      <c r="Q3" s="965"/>
      <c r="R3" s="966"/>
      <c r="S3" s="31"/>
      <c r="T3" s="31"/>
      <c r="U3" s="203"/>
      <c r="V3" s="203"/>
      <c r="W3" s="31"/>
    </row>
    <row r="4" spans="2:23" s="23" customFormat="1" ht="12.75">
      <c r="B4" s="1160" t="s">
        <v>676</v>
      </c>
      <c r="C4" s="1160"/>
      <c r="D4" s="1160"/>
      <c r="E4" s="1160"/>
      <c r="F4" s="1160"/>
      <c r="G4" s="1160"/>
      <c r="H4" s="1160"/>
      <c r="I4" s="1160"/>
      <c r="J4" s="1160"/>
      <c r="K4" s="1160"/>
      <c r="L4" s="26"/>
      <c r="M4" s="602"/>
      <c r="N4" s="965"/>
      <c r="O4" s="965"/>
      <c r="P4" s="965"/>
      <c r="Q4" s="965"/>
      <c r="R4" s="966"/>
      <c r="S4" s="31"/>
      <c r="T4" s="31"/>
      <c r="U4" s="203"/>
      <c r="V4" s="203"/>
      <c r="W4" s="31"/>
    </row>
    <row r="5" spans="2:23" s="23" customFormat="1" ht="12.75">
      <c r="B5" s="1163" t="s">
        <v>166</v>
      </c>
      <c r="C5" s="1163"/>
      <c r="D5" s="1163"/>
      <c r="E5" s="1163"/>
      <c r="F5" s="1163"/>
      <c r="G5" s="1163"/>
      <c r="H5" s="1163"/>
      <c r="I5" s="1163"/>
      <c r="J5" s="1163"/>
      <c r="K5" s="1163"/>
      <c r="L5" s="26"/>
      <c r="M5" s="774"/>
      <c r="N5" s="965"/>
      <c r="O5" s="965"/>
      <c r="P5" s="965"/>
      <c r="Q5" s="965"/>
      <c r="R5" s="966"/>
      <c r="S5" s="31"/>
      <c r="T5" s="31"/>
      <c r="U5" s="203"/>
      <c r="V5" s="203"/>
      <c r="W5" s="31"/>
    </row>
    <row r="6" spans="2:23" s="21" customFormat="1" ht="24" customHeight="1">
      <c r="B6" s="560" t="s">
        <v>96</v>
      </c>
      <c r="C6" s="1162" t="s">
        <v>9</v>
      </c>
      <c r="D6" s="1162"/>
      <c r="E6" s="1162" t="s">
        <v>91</v>
      </c>
      <c r="F6" s="1162"/>
      <c r="G6" s="1162" t="s">
        <v>89</v>
      </c>
      <c r="H6" s="1162"/>
      <c r="I6" s="1164" t="s">
        <v>64</v>
      </c>
      <c r="J6" s="1164"/>
      <c r="K6" s="1164"/>
      <c r="L6" s="22"/>
      <c r="M6" s="775"/>
      <c r="N6" s="967"/>
      <c r="O6" s="967"/>
      <c r="P6" s="967"/>
      <c r="Q6" s="967"/>
      <c r="R6" s="967"/>
      <c r="S6" s="225"/>
      <c r="T6" s="204"/>
      <c r="U6" s="193"/>
      <c r="V6" s="193"/>
      <c r="W6" s="44"/>
    </row>
    <row r="7" spans="2:23" s="21" customFormat="1" ht="17.25" customHeight="1">
      <c r="B7" s="421"/>
      <c r="C7" s="767">
        <v>2020</v>
      </c>
      <c r="D7" s="272">
        <v>2021</v>
      </c>
      <c r="E7" s="767">
        <v>2020</v>
      </c>
      <c r="F7" s="767">
        <v>2021</v>
      </c>
      <c r="G7" s="767">
        <v>2020</v>
      </c>
      <c r="H7" s="767">
        <v>2021</v>
      </c>
      <c r="I7" s="767">
        <v>2020</v>
      </c>
      <c r="J7" s="767">
        <v>2021</v>
      </c>
      <c r="K7" s="330" t="s">
        <v>8</v>
      </c>
      <c r="L7" s="22"/>
      <c r="M7" s="885"/>
      <c r="N7" s="968"/>
      <c r="O7" s="969"/>
      <c r="P7" s="969"/>
      <c r="Q7" s="969"/>
      <c r="R7" s="782"/>
      <c r="S7" s="199"/>
      <c r="T7" s="198"/>
      <c r="U7" s="193"/>
      <c r="V7" s="193"/>
      <c r="W7" s="44"/>
    </row>
    <row r="8" spans="2:23" s="21" customFormat="1" ht="15.75" customHeight="1">
      <c r="B8" s="39" t="s">
        <v>47</v>
      </c>
      <c r="C8" s="778">
        <v>72627.968999999997</v>
      </c>
      <c r="D8" s="778">
        <v>37232.027000000002</v>
      </c>
      <c r="E8" s="778">
        <v>11557.75</v>
      </c>
      <c r="F8" s="778">
        <v>2631.4520000000002</v>
      </c>
      <c r="G8" s="778">
        <v>12329</v>
      </c>
      <c r="H8" s="778">
        <v>23525.08</v>
      </c>
      <c r="I8" s="778">
        <v>96514.718999999997</v>
      </c>
      <c r="J8" s="778">
        <v>63398.959000000003</v>
      </c>
      <c r="K8" s="790">
        <f t="shared" ref="K8:K9" si="0">+J8/I8*100-100</f>
        <v>-34.311616241663614</v>
      </c>
      <c r="L8" s="22"/>
      <c r="M8" s="885"/>
      <c r="N8" s="968"/>
      <c r="O8" s="969"/>
      <c r="P8" s="782"/>
      <c r="Q8" s="969"/>
      <c r="R8" s="756"/>
      <c r="S8" s="200"/>
      <c r="T8" s="188"/>
      <c r="U8" s="193"/>
      <c r="V8" s="193"/>
      <c r="W8" s="44"/>
    </row>
    <row r="9" spans="2:23" s="21" customFormat="1" ht="15.75" customHeight="1">
      <c r="B9" s="39" t="s">
        <v>48</v>
      </c>
      <c r="C9" s="583">
        <v>44440.87</v>
      </c>
      <c r="D9" s="583">
        <v>57265.148999999998</v>
      </c>
      <c r="E9" s="583">
        <v>0</v>
      </c>
      <c r="F9" s="583">
        <v>17126.95</v>
      </c>
      <c r="G9" s="583">
        <v>25098.27</v>
      </c>
      <c r="H9" s="583">
        <v>5086.2299999999996</v>
      </c>
      <c r="I9" s="583">
        <v>69539.14</v>
      </c>
      <c r="J9" s="583">
        <v>79487.328999999998</v>
      </c>
      <c r="K9" s="790">
        <f t="shared" si="0"/>
        <v>14.305884427101063</v>
      </c>
      <c r="L9" s="22"/>
      <c r="M9" s="886"/>
      <c r="N9" s="968"/>
      <c r="O9" s="969"/>
      <c r="P9" s="782"/>
      <c r="Q9" s="969"/>
      <c r="R9" s="969"/>
      <c r="S9" s="198"/>
      <c r="T9" s="198"/>
      <c r="U9" s="193"/>
      <c r="V9" s="193"/>
      <c r="W9" s="44"/>
    </row>
    <row r="10" spans="2:23" s="21" customFormat="1" ht="15.75" customHeight="1">
      <c r="B10" s="39" t="s">
        <v>49</v>
      </c>
      <c r="C10" s="583">
        <v>77035.547999999995</v>
      </c>
      <c r="D10" s="583"/>
      <c r="E10" s="583">
        <v>35273.26</v>
      </c>
      <c r="F10" s="583"/>
      <c r="G10" s="583">
        <v>6999.08</v>
      </c>
      <c r="H10" s="583"/>
      <c r="I10" s="583">
        <v>119307.88800000001</v>
      </c>
      <c r="J10" s="583"/>
      <c r="K10" s="790"/>
      <c r="L10" s="22"/>
      <c r="M10" s="887"/>
      <c r="N10" s="968"/>
      <c r="O10" s="969"/>
      <c r="P10" s="782"/>
      <c r="Q10" s="969"/>
      <c r="R10" s="969"/>
      <c r="S10" s="198"/>
      <c r="T10" s="198"/>
      <c r="U10" s="193"/>
      <c r="V10" s="193"/>
      <c r="W10" s="44"/>
    </row>
    <row r="11" spans="2:23" s="21" customFormat="1" ht="15" customHeight="1">
      <c r="B11" s="39" t="s">
        <v>57</v>
      </c>
      <c r="C11" s="583">
        <v>76239.53</v>
      </c>
      <c r="D11" s="583"/>
      <c r="E11" s="583">
        <v>23546.32</v>
      </c>
      <c r="F11" s="583"/>
      <c r="G11" s="583">
        <v>24437.33</v>
      </c>
      <c r="H11" s="583"/>
      <c r="I11" s="583">
        <v>124223.18</v>
      </c>
      <c r="J11" s="583"/>
      <c r="K11" s="790"/>
      <c r="L11" s="22"/>
      <c r="M11" s="887"/>
      <c r="N11" s="968"/>
      <c r="O11" s="969"/>
      <c r="P11" s="782"/>
      <c r="Q11" s="969"/>
      <c r="R11" s="969"/>
      <c r="S11" s="198"/>
      <c r="T11" s="198"/>
      <c r="U11" s="193"/>
      <c r="V11" s="193"/>
      <c r="W11" s="44"/>
    </row>
    <row r="12" spans="2:23" s="21" customFormat="1" ht="15.75" customHeight="1">
      <c r="B12" s="39" t="s">
        <v>58</v>
      </c>
      <c r="C12" s="660">
        <v>21387.439999999999</v>
      </c>
      <c r="D12" s="660"/>
      <c r="E12" s="663">
        <v>27111.74</v>
      </c>
      <c r="F12" s="663"/>
      <c r="G12" s="663">
        <v>14053.18</v>
      </c>
      <c r="H12" s="663"/>
      <c r="I12" s="663">
        <v>62552.36</v>
      </c>
      <c r="J12" s="663"/>
      <c r="K12" s="790"/>
      <c r="L12" s="22"/>
      <c r="M12" s="887"/>
      <c r="N12" s="968"/>
      <c r="O12" s="969"/>
      <c r="P12" s="782"/>
      <c r="Q12" s="969"/>
      <c r="R12" s="969"/>
      <c r="S12" s="198"/>
      <c r="T12" s="198"/>
      <c r="U12" s="193"/>
      <c r="V12" s="193"/>
      <c r="W12" s="44"/>
    </row>
    <row r="13" spans="2:23" s="21" customFormat="1" ht="15.75" customHeight="1">
      <c r="B13" s="39" t="s">
        <v>50</v>
      </c>
      <c r="C13" s="660">
        <v>913.50199999999995</v>
      </c>
      <c r="D13" s="660"/>
      <c r="E13" s="660">
        <v>1149.24</v>
      </c>
      <c r="F13" s="660"/>
      <c r="G13" s="660">
        <v>11578.78</v>
      </c>
      <c r="H13" s="660"/>
      <c r="I13" s="660">
        <v>13641.522000000001</v>
      </c>
      <c r="J13" s="660"/>
      <c r="K13" s="790"/>
      <c r="L13" s="22"/>
      <c r="M13" s="885"/>
      <c r="N13" s="968"/>
      <c r="O13" s="969"/>
      <c r="P13" s="782"/>
      <c r="Q13" s="969"/>
      <c r="R13" s="969"/>
      <c r="S13" s="198"/>
      <c r="T13" s="198"/>
      <c r="U13" s="193"/>
      <c r="V13" s="193"/>
      <c r="W13" s="44"/>
    </row>
    <row r="14" spans="2:23" s="21" customFormat="1" ht="15.75" customHeight="1">
      <c r="B14" s="39" t="s">
        <v>51</v>
      </c>
      <c r="C14" s="660">
        <v>6971.96</v>
      </c>
      <c r="D14" s="660"/>
      <c r="E14" s="660">
        <v>50770.09</v>
      </c>
      <c r="F14" s="660"/>
      <c r="G14" s="660">
        <v>43463.19</v>
      </c>
      <c r="H14" s="660"/>
      <c r="I14" s="660">
        <v>123117.16</v>
      </c>
      <c r="J14" s="660"/>
      <c r="K14" s="790"/>
      <c r="L14" s="22"/>
      <c r="M14" s="885"/>
      <c r="N14" s="968"/>
      <c r="O14" s="969"/>
      <c r="P14" s="782"/>
      <c r="Q14" s="969"/>
      <c r="R14" s="798"/>
      <c r="S14" s="201"/>
      <c r="T14" s="201"/>
      <c r="U14" s="193"/>
      <c r="V14" s="193"/>
      <c r="W14" s="44"/>
    </row>
    <row r="15" spans="2:23" s="21" customFormat="1" ht="15.75" customHeight="1">
      <c r="B15" s="64" t="s">
        <v>52</v>
      </c>
      <c r="C15" s="583">
        <v>420</v>
      </c>
      <c r="D15" s="583"/>
      <c r="E15" s="583">
        <v>44379.1</v>
      </c>
      <c r="F15" s="583"/>
      <c r="G15" s="583">
        <v>47772.923769999994</v>
      </c>
      <c r="H15" s="583"/>
      <c r="I15" s="583">
        <v>92572.023770000014</v>
      </c>
      <c r="J15" s="583"/>
      <c r="K15" s="790"/>
      <c r="L15" s="22"/>
      <c r="M15" s="891"/>
      <c r="N15" s="968"/>
      <c r="O15" s="969"/>
      <c r="P15" s="782"/>
      <c r="Q15" s="969"/>
      <c r="R15" s="780"/>
      <c r="S15" s="202"/>
      <c r="T15" s="201"/>
      <c r="U15" s="193"/>
      <c r="V15" s="193"/>
      <c r="W15" s="44"/>
    </row>
    <row r="16" spans="2:23" s="21" customFormat="1" ht="15.75" customHeight="1">
      <c r="B16" s="39" t="s">
        <v>53</v>
      </c>
      <c r="C16" s="660">
        <v>0</v>
      </c>
      <c r="D16" s="660"/>
      <c r="E16" s="663">
        <v>28566.17</v>
      </c>
      <c r="F16" s="663"/>
      <c r="G16" s="663">
        <v>69906.009999999995</v>
      </c>
      <c r="H16" s="663"/>
      <c r="I16" s="663">
        <v>98529.35</v>
      </c>
      <c r="J16" s="663"/>
      <c r="K16" s="790"/>
      <c r="L16" s="22"/>
      <c r="M16" s="885"/>
      <c r="N16" s="968"/>
      <c r="O16" s="969"/>
      <c r="P16" s="782"/>
      <c r="Q16" s="969"/>
      <c r="R16" s="780"/>
      <c r="S16" s="202"/>
      <c r="T16" s="201"/>
      <c r="U16" s="193"/>
      <c r="V16" s="193"/>
      <c r="W16" s="44"/>
    </row>
    <row r="17" spans="1:23" s="21" customFormat="1" ht="15.75" customHeight="1">
      <c r="B17" s="39" t="s">
        <v>54</v>
      </c>
      <c r="C17" s="663">
        <v>0</v>
      </c>
      <c r="D17" s="663"/>
      <c r="E17" s="663">
        <v>89019.975000000006</v>
      </c>
      <c r="F17" s="663"/>
      <c r="G17" s="663">
        <v>66188.84</v>
      </c>
      <c r="H17" s="663"/>
      <c r="I17" s="663">
        <v>155516.505</v>
      </c>
      <c r="J17" s="663"/>
      <c r="K17" s="790"/>
      <c r="L17" s="22"/>
      <c r="M17" s="891"/>
      <c r="N17" s="968"/>
      <c r="O17" s="969"/>
      <c r="P17" s="782"/>
      <c r="Q17" s="969"/>
      <c r="R17" s="782"/>
      <c r="S17" s="46"/>
      <c r="T17" s="46"/>
      <c r="U17" s="193"/>
      <c r="V17" s="193"/>
      <c r="W17" s="44"/>
    </row>
    <row r="18" spans="1:23" s="21" customFormat="1" ht="15.75" customHeight="1">
      <c r="B18" s="39" t="s">
        <v>55</v>
      </c>
      <c r="C18" s="583">
        <v>0</v>
      </c>
      <c r="D18" s="583"/>
      <c r="E18" s="583">
        <v>59763.476000000002</v>
      </c>
      <c r="F18" s="583"/>
      <c r="G18" s="583">
        <v>25961.177</v>
      </c>
      <c r="H18" s="583"/>
      <c r="I18" s="660">
        <v>85724.653000000006</v>
      </c>
      <c r="J18" s="660"/>
      <c r="K18" s="790"/>
      <c r="L18" s="22"/>
      <c r="M18" s="885"/>
      <c r="N18" s="968"/>
      <c r="O18" s="782"/>
      <c r="P18" s="782"/>
      <c r="Q18" s="969"/>
      <c r="R18" s="782"/>
      <c r="S18" s="46"/>
      <c r="T18" s="46"/>
      <c r="U18" s="193"/>
      <c r="V18" s="193"/>
      <c r="W18" s="44"/>
    </row>
    <row r="19" spans="1:23" s="21" customFormat="1" ht="15.75" customHeight="1">
      <c r="B19" s="39" t="s">
        <v>159</v>
      </c>
      <c r="C19" s="660">
        <v>19674.55</v>
      </c>
      <c r="D19" s="660"/>
      <c r="E19" s="583">
        <v>60470.419299999994</v>
      </c>
      <c r="F19" s="583"/>
      <c r="G19" s="583">
        <v>15535.3</v>
      </c>
      <c r="H19" s="583"/>
      <c r="I19" s="583">
        <v>95680.2693</v>
      </c>
      <c r="J19" s="660"/>
      <c r="K19" s="790"/>
      <c r="L19" s="22"/>
      <c r="M19" s="871"/>
      <c r="N19" s="970"/>
      <c r="O19" s="782"/>
      <c r="P19" s="782"/>
      <c r="Q19" s="782"/>
      <c r="R19" s="782"/>
      <c r="S19" s="46"/>
      <c r="T19" s="46"/>
      <c r="U19" s="193"/>
      <c r="V19" s="193"/>
      <c r="W19" s="44"/>
    </row>
    <row r="20" spans="1:23" s="21" customFormat="1" ht="15.75" customHeight="1">
      <c r="B20" s="39" t="s">
        <v>64</v>
      </c>
      <c r="C20" s="660">
        <f>SUM(C8:C19)</f>
        <v>319711.36900000001</v>
      </c>
      <c r="D20" s="660">
        <f t="shared" ref="D20:J20" si="1">SUM(D8:D19)</f>
        <v>94497.176000000007</v>
      </c>
      <c r="E20" s="660">
        <f t="shared" si="1"/>
        <v>431607.54030000005</v>
      </c>
      <c r="F20" s="660">
        <f t="shared" si="1"/>
        <v>19758.402000000002</v>
      </c>
      <c r="G20" s="660">
        <f t="shared" si="1"/>
        <v>363323.08077000006</v>
      </c>
      <c r="H20" s="660">
        <f t="shared" si="1"/>
        <v>28611.31</v>
      </c>
      <c r="I20" s="660">
        <f t="shared" si="1"/>
        <v>1136918.7700699999</v>
      </c>
      <c r="J20" s="660">
        <f t="shared" si="1"/>
        <v>142886.288</v>
      </c>
      <c r="K20" s="790"/>
      <c r="L20" s="22"/>
      <c r="M20" s="892"/>
      <c r="N20" s="970"/>
      <c r="O20" s="782"/>
      <c r="P20" s="782"/>
      <c r="Q20" s="782"/>
      <c r="R20" s="782"/>
      <c r="S20" s="46"/>
      <c r="T20" s="46"/>
      <c r="U20" s="193"/>
      <c r="V20" s="193"/>
      <c r="W20" s="44"/>
    </row>
    <row r="21" spans="1:23" s="21" customFormat="1" ht="15.75" customHeight="1">
      <c r="B21" s="102" t="s">
        <v>693</v>
      </c>
      <c r="C21" s="584">
        <f>+C20/$I$20</f>
        <v>0.28120862933797414</v>
      </c>
      <c r="D21" s="584">
        <f>+D20/$J$20</f>
        <v>0.66134530697585203</v>
      </c>
      <c r="E21" s="584">
        <f>+E20/$I$20</f>
        <v>0.37962917990475792</v>
      </c>
      <c r="F21" s="584">
        <f>+F20/$J$20</f>
        <v>0.13828060254459126</v>
      </c>
      <c r="G21" s="584">
        <f>+G20/$I$20</f>
        <v>0.31956819636958789</v>
      </c>
      <c r="H21" s="584">
        <f>+H20/$J$20</f>
        <v>0.20023831817927834</v>
      </c>
      <c r="I21" s="584">
        <f>+I20/$I$20</f>
        <v>1</v>
      </c>
      <c r="J21" s="584">
        <f>+J20/$J$20</f>
        <v>1</v>
      </c>
      <c r="K21" s="151"/>
      <c r="L21" s="22"/>
      <c r="M21" s="871"/>
      <c r="N21" s="970"/>
      <c r="O21" s="782"/>
      <c r="P21" s="782"/>
      <c r="Q21" s="782"/>
      <c r="R21" s="782"/>
      <c r="S21" s="46"/>
      <c r="T21" s="46"/>
      <c r="U21" s="193"/>
      <c r="V21" s="193"/>
      <c r="W21" s="44"/>
    </row>
    <row r="22" spans="1:23" s="21" customFormat="1" ht="57.75" customHeight="1">
      <c r="B22" s="1165" t="s">
        <v>717</v>
      </c>
      <c r="C22" s="1166"/>
      <c r="D22" s="1166"/>
      <c r="E22" s="1166"/>
      <c r="F22" s="1166"/>
      <c r="G22" s="1166"/>
      <c r="H22" s="1166"/>
      <c r="I22" s="1166"/>
      <c r="J22" s="1166"/>
      <c r="K22" s="1167"/>
      <c r="L22" s="22"/>
      <c r="M22" s="871"/>
      <c r="N22" s="969"/>
      <c r="O22" s="971"/>
      <c r="P22" s="971"/>
      <c r="Q22" s="971"/>
      <c r="R22" s="971"/>
      <c r="S22" s="205"/>
      <c r="T22" s="205"/>
      <c r="U22" s="193"/>
      <c r="V22" s="193"/>
      <c r="W22" s="44"/>
    </row>
    <row r="23" spans="1:23" s="21" customFormat="1" ht="15.75" customHeight="1">
      <c r="B23" s="1161"/>
      <c r="C23" s="1161"/>
      <c r="D23" s="1161"/>
      <c r="E23" s="1161"/>
      <c r="F23" s="1161"/>
      <c r="G23" s="1161"/>
      <c r="H23" s="1161"/>
      <c r="I23" s="1161"/>
      <c r="J23" s="1161"/>
      <c r="K23" s="1161"/>
      <c r="L23" s="22"/>
      <c r="M23" s="871"/>
      <c r="N23" s="969"/>
      <c r="O23" s="971"/>
      <c r="P23" s="971"/>
      <c r="Q23" s="971"/>
      <c r="R23" s="971"/>
      <c r="S23" s="205"/>
      <c r="T23" s="205"/>
      <c r="U23" s="193"/>
      <c r="V23" s="193"/>
      <c r="W23" s="44"/>
    </row>
    <row r="24" spans="1:23" s="21" customFormat="1" ht="15.75" customHeight="1">
      <c r="B24" s="2"/>
      <c r="C24" s="46"/>
      <c r="D24" s="46"/>
      <c r="E24" s="46"/>
      <c r="F24" s="46"/>
      <c r="G24" s="46"/>
      <c r="H24" s="46"/>
      <c r="I24" s="46"/>
      <c r="J24" s="46"/>
      <c r="K24" s="46"/>
      <c r="L24" s="22"/>
      <c r="M24" s="871"/>
      <c r="N24" s="969"/>
      <c r="O24" s="971"/>
      <c r="P24" s="971"/>
      <c r="Q24" s="971"/>
      <c r="R24" s="971"/>
      <c r="S24" s="205"/>
      <c r="T24" s="205"/>
      <c r="U24" s="193"/>
      <c r="V24" s="193"/>
      <c r="W24" s="44"/>
    </row>
    <row r="25" spans="1:23" ht="17.25" customHeight="1">
      <c r="B25" s="105"/>
      <c r="C25" s="106"/>
      <c r="D25" s="106"/>
      <c r="E25" s="106"/>
      <c r="F25" s="106"/>
      <c r="G25" s="106"/>
      <c r="H25" s="106"/>
      <c r="I25" s="106"/>
      <c r="J25" s="106"/>
      <c r="K25" s="106"/>
      <c r="L25" s="177"/>
      <c r="M25" s="888"/>
      <c r="N25" s="798"/>
      <c r="O25" s="971"/>
      <c r="P25" s="971"/>
      <c r="Q25" s="971"/>
      <c r="R25" s="971"/>
      <c r="S25" s="205"/>
      <c r="T25" s="205"/>
      <c r="U25" s="196"/>
      <c r="V25" s="196"/>
      <c r="W25" s="2"/>
    </row>
    <row r="26" spans="1:23" ht="15" customHeight="1">
      <c r="A26" s="16"/>
      <c r="B26" s="210"/>
      <c r="C26" s="210"/>
      <c r="D26" s="210"/>
      <c r="E26" s="210"/>
      <c r="F26" s="48"/>
      <c r="G26" s="48"/>
      <c r="H26" s="48"/>
      <c r="I26" s="48"/>
      <c r="J26" s="48"/>
      <c r="K26" s="48"/>
      <c r="L26" s="1"/>
      <c r="M26" s="889"/>
      <c r="N26" s="780"/>
      <c r="O26" s="971"/>
      <c r="P26" s="971"/>
      <c r="Q26" s="971"/>
      <c r="R26" s="971"/>
      <c r="S26" s="205"/>
      <c r="T26" s="205"/>
      <c r="U26" s="195"/>
      <c r="V26" s="196"/>
      <c r="W26" s="2"/>
    </row>
    <row r="27" spans="1:23" ht="15" customHeight="1">
      <c r="B27" s="16"/>
      <c r="C27" s="16"/>
      <c r="D27" s="16"/>
      <c r="E27" s="16"/>
      <c r="L27" s="1"/>
      <c r="M27" s="889"/>
      <c r="N27" s="780"/>
      <c r="O27" s="971"/>
      <c r="P27" s="971"/>
      <c r="Q27" s="971"/>
      <c r="R27" s="971"/>
      <c r="S27" s="205"/>
      <c r="T27" s="205"/>
      <c r="U27" s="196"/>
      <c r="V27" s="196"/>
      <c r="W27" s="2"/>
    </row>
    <row r="28" spans="1:23" ht="15" customHeight="1">
      <c r="L28" s="1"/>
      <c r="M28" s="889"/>
      <c r="N28" s="780"/>
      <c r="O28" s="971"/>
      <c r="P28" s="971"/>
      <c r="Q28" s="971"/>
      <c r="R28" s="971"/>
      <c r="S28" s="205"/>
      <c r="T28" s="205"/>
      <c r="U28" s="196"/>
      <c r="V28" s="196"/>
      <c r="W28" s="2"/>
    </row>
    <row r="29" spans="1:23" ht="15" customHeight="1">
      <c r="L29" s="1"/>
      <c r="M29" s="889"/>
      <c r="N29" s="780"/>
      <c r="O29" s="971"/>
      <c r="P29" s="971"/>
      <c r="Q29" s="971"/>
      <c r="R29" s="971"/>
      <c r="S29" s="205"/>
      <c r="T29" s="205"/>
      <c r="U29" s="195"/>
      <c r="V29" s="196"/>
      <c r="W29" s="2"/>
    </row>
    <row r="30" spans="1:23" ht="15" customHeight="1">
      <c r="L30" s="1"/>
      <c r="M30" s="889"/>
      <c r="N30" s="780"/>
      <c r="O30" s="971"/>
      <c r="P30" s="971"/>
      <c r="Q30" s="971"/>
      <c r="R30" s="971"/>
      <c r="S30" s="205"/>
      <c r="T30" s="205"/>
      <c r="U30" s="196"/>
      <c r="V30" s="196"/>
      <c r="W30" s="2"/>
    </row>
    <row r="31" spans="1:23" ht="15" customHeight="1">
      <c r="L31" s="1"/>
      <c r="M31" s="889"/>
      <c r="N31" s="780"/>
      <c r="O31" s="780"/>
      <c r="P31" s="780"/>
      <c r="Q31" s="798"/>
      <c r="R31" s="780"/>
      <c r="S31" s="196"/>
      <c r="T31" s="196"/>
      <c r="U31" s="196"/>
      <c r="V31" s="196"/>
      <c r="W31" s="2"/>
    </row>
    <row r="32" spans="1:23" ht="15" customHeight="1">
      <c r="L32" s="1"/>
      <c r="M32" s="889"/>
      <c r="N32" s="780"/>
      <c r="O32" s="780"/>
      <c r="P32" s="780"/>
      <c r="Q32" s="798"/>
      <c r="R32" s="780"/>
      <c r="S32" s="196"/>
      <c r="T32" s="196"/>
      <c r="U32" s="196"/>
      <c r="V32" s="196"/>
      <c r="W32" s="2"/>
    </row>
    <row r="33" spans="12:23" ht="15" customHeight="1">
      <c r="L33" s="1"/>
      <c r="M33" s="889"/>
      <c r="N33" s="780"/>
      <c r="O33" s="780"/>
      <c r="P33" s="780"/>
      <c r="Q33" s="798"/>
      <c r="R33" s="780"/>
      <c r="S33" s="196"/>
      <c r="T33" s="196"/>
      <c r="U33" s="196"/>
      <c r="V33" s="196"/>
      <c r="W33" s="2"/>
    </row>
    <row r="34" spans="12:23" ht="15" customHeight="1">
      <c r="L34" s="1"/>
      <c r="M34" s="889"/>
      <c r="N34" s="780"/>
      <c r="O34" s="780"/>
      <c r="P34" s="780"/>
      <c r="Q34" s="798"/>
      <c r="R34" s="780"/>
      <c r="S34" s="196"/>
      <c r="T34" s="196"/>
      <c r="U34" s="196"/>
      <c r="V34" s="196"/>
      <c r="W34" s="2"/>
    </row>
    <row r="35" spans="12:23" ht="15" customHeight="1">
      <c r="L35" s="1"/>
      <c r="M35" s="889"/>
      <c r="N35" s="780"/>
      <c r="O35" s="780"/>
      <c r="P35" s="780"/>
      <c r="Q35" s="798"/>
      <c r="R35" s="780"/>
      <c r="S35" s="196"/>
      <c r="T35" s="196"/>
      <c r="U35" s="196"/>
      <c r="V35" s="196"/>
      <c r="W35" s="2"/>
    </row>
    <row r="36" spans="12:23" ht="15" customHeight="1">
      <c r="L36" s="1"/>
      <c r="M36" s="889"/>
      <c r="N36" s="780"/>
      <c r="O36" s="780"/>
      <c r="P36" s="780"/>
      <c r="Q36" s="798"/>
      <c r="R36" s="780"/>
      <c r="S36" s="196"/>
      <c r="T36" s="196"/>
      <c r="U36" s="196"/>
      <c r="V36" s="196"/>
      <c r="W36" s="2"/>
    </row>
    <row r="37" spans="12:23" ht="15" customHeight="1">
      <c r="L37" s="1"/>
      <c r="M37" s="889"/>
      <c r="N37" s="780"/>
      <c r="O37" s="780"/>
      <c r="P37" s="780"/>
      <c r="Q37" s="798"/>
      <c r="R37" s="780"/>
      <c r="S37" s="196"/>
      <c r="T37" s="196"/>
      <c r="U37" s="196"/>
      <c r="V37" s="206"/>
      <c r="W37" s="2"/>
    </row>
    <row r="38" spans="12:23" ht="15" customHeight="1">
      <c r="L38" s="1"/>
      <c r="M38" s="889"/>
      <c r="N38" s="780"/>
      <c r="O38" s="780"/>
      <c r="P38" s="780"/>
      <c r="Q38" s="798"/>
      <c r="R38" s="780"/>
      <c r="S38" s="196"/>
      <c r="T38" s="196"/>
      <c r="U38" s="196"/>
      <c r="V38" s="196"/>
      <c r="W38" s="2"/>
    </row>
    <row r="39" spans="12:23" ht="15" customHeight="1">
      <c r="L39" s="1"/>
      <c r="M39" s="872"/>
      <c r="N39" s="758"/>
      <c r="O39" s="758"/>
      <c r="P39" s="758"/>
    </row>
    <row r="40" spans="12:23" ht="15" customHeight="1">
      <c r="L40" s="1"/>
      <c r="M40" s="872"/>
      <c r="N40" s="758"/>
      <c r="O40" s="758"/>
      <c r="P40" s="758"/>
    </row>
    <row r="50" spans="12:13">
      <c r="L50" s="1"/>
      <c r="M50" s="872"/>
    </row>
    <row r="51" spans="12:13">
      <c r="L51" s="1"/>
      <c r="M51" s="872"/>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J20 C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pageSetUpPr fitToPage="1"/>
  </sheetPr>
  <dimension ref="B1:X52"/>
  <sheetViews>
    <sheetView topLeftCell="A4" zoomScaleNormal="100" workbookViewId="0">
      <selection activeCell="B22" sqref="B22:K23"/>
    </sheetView>
  </sheetViews>
  <sheetFormatPr baseColWidth="10" defaultColWidth="10.90625" defaultRowHeight="12"/>
  <cols>
    <col min="1" max="1" width="2.26953125" style="1" customWidth="1"/>
    <col min="2" max="2" width="9.81640625" style="1" customWidth="1"/>
    <col min="3" max="8" width="5.54296875" style="1" customWidth="1"/>
    <col min="9" max="9" width="6.7265625" style="1" customWidth="1"/>
    <col min="10" max="10" width="6.08984375" style="1" bestFit="1" customWidth="1"/>
    <col min="11" max="11" width="5.54296875" style="1" customWidth="1"/>
    <col min="12" max="12" width="1.453125" style="16" customWidth="1"/>
    <col min="13" max="13" width="7.6328125" style="126" customWidth="1"/>
    <col min="14" max="14" width="8.36328125" style="126" bestFit="1" customWidth="1"/>
    <col min="15" max="15" width="7.1796875" style="126" bestFit="1" customWidth="1"/>
    <col min="16" max="16" width="5.26953125" style="126" customWidth="1"/>
    <col min="17" max="17" width="10.90625" style="144"/>
    <col min="18" max="23" width="10.90625" style="1"/>
    <col min="24" max="24" width="4.7265625" style="127" customWidth="1"/>
    <col min="25" max="16384" width="10.90625" style="1"/>
  </cols>
  <sheetData>
    <row r="1" spans="2:24" s="23" customFormat="1" ht="12.75">
      <c r="B1" s="1104" t="s">
        <v>76</v>
      </c>
      <c r="C1" s="1104"/>
      <c r="D1" s="1104"/>
      <c r="E1" s="1104"/>
      <c r="F1" s="1104"/>
      <c r="G1" s="1104"/>
      <c r="H1" s="1104"/>
      <c r="I1" s="1104"/>
      <c r="J1" s="1104"/>
      <c r="K1" s="1104"/>
      <c r="L1" s="26"/>
      <c r="M1" s="608" t="str">
        <f>C6</f>
        <v>Suave</v>
      </c>
      <c r="N1" s="608" t="str">
        <f>E6</f>
        <v>Intermedio</v>
      </c>
      <c r="O1" s="608" t="str">
        <f>G6</f>
        <v>Fuerte</v>
      </c>
      <c r="P1" s="609" t="s">
        <v>59</v>
      </c>
      <c r="Q1" s="541"/>
      <c r="X1" s="123"/>
    </row>
    <row r="2" spans="2:24" s="23" customFormat="1" ht="12.75">
      <c r="B2" s="25"/>
      <c r="C2" s="25"/>
      <c r="D2" s="25"/>
      <c r="E2" s="25"/>
      <c r="F2" s="25"/>
      <c r="G2" s="25"/>
      <c r="H2" s="25"/>
      <c r="L2" s="26"/>
      <c r="M2" s="610">
        <f>D21</f>
        <v>0.23100698087978885</v>
      </c>
      <c r="N2" s="610">
        <f>F21</f>
        <v>0.47010669071338734</v>
      </c>
      <c r="O2" s="610">
        <f>H21</f>
        <v>0.28320952672519567</v>
      </c>
      <c r="P2" s="611">
        <f>1-M2-N2-O2</f>
        <v>1.5676801681628105E-2</v>
      </c>
      <c r="Q2" s="541"/>
      <c r="X2" s="123"/>
    </row>
    <row r="3" spans="2:24" s="23" customFormat="1" ht="12.75">
      <c r="B3" s="1104" t="s">
        <v>434</v>
      </c>
      <c r="C3" s="1104"/>
      <c r="D3" s="1104"/>
      <c r="E3" s="1104"/>
      <c r="F3" s="1104"/>
      <c r="G3" s="1104"/>
      <c r="H3" s="1104"/>
      <c r="I3" s="1104"/>
      <c r="J3" s="1104"/>
      <c r="K3" s="1104"/>
      <c r="L3" s="26"/>
      <c r="M3" s="609"/>
      <c r="N3" s="609"/>
      <c r="O3" s="609"/>
      <c r="P3" s="609"/>
      <c r="Q3" s="541"/>
      <c r="X3" s="123"/>
    </row>
    <row r="4" spans="2:24" s="23" customFormat="1" ht="12.75">
      <c r="B4" s="1160" t="s">
        <v>676</v>
      </c>
      <c r="C4" s="1160"/>
      <c r="D4" s="1160"/>
      <c r="E4" s="1160"/>
      <c r="F4" s="1160"/>
      <c r="G4" s="1160"/>
      <c r="H4" s="1160"/>
      <c r="I4" s="1160"/>
      <c r="J4" s="1160"/>
      <c r="K4" s="1160"/>
      <c r="L4" s="26"/>
      <c r="M4" s="124"/>
      <c r="N4" s="124"/>
      <c r="O4" s="124"/>
      <c r="P4" s="124"/>
      <c r="Q4" s="541"/>
      <c r="X4" s="123"/>
    </row>
    <row r="5" spans="2:24" s="23" customFormat="1" ht="12.75">
      <c r="B5" s="1176" t="s">
        <v>166</v>
      </c>
      <c r="C5" s="1176"/>
      <c r="D5" s="1176"/>
      <c r="E5" s="1176"/>
      <c r="F5" s="1176"/>
      <c r="G5" s="1176"/>
      <c r="H5" s="1176"/>
      <c r="I5" s="1176"/>
      <c r="J5" s="1176"/>
      <c r="K5" s="1176"/>
      <c r="L5" s="26"/>
      <c r="M5" s="115"/>
      <c r="N5" s="124"/>
      <c r="O5" s="124"/>
      <c r="P5" s="124"/>
      <c r="Q5" s="541"/>
      <c r="X5" s="123"/>
    </row>
    <row r="6" spans="2:24" s="35" customFormat="1" ht="24" customHeight="1">
      <c r="B6" s="1178" t="s">
        <v>96</v>
      </c>
      <c r="C6" s="1177" t="s">
        <v>92</v>
      </c>
      <c r="D6" s="1177"/>
      <c r="E6" s="1177" t="s">
        <v>93</v>
      </c>
      <c r="F6" s="1177"/>
      <c r="G6" s="1177" t="s">
        <v>94</v>
      </c>
      <c r="H6" s="1177"/>
      <c r="I6" s="1111" t="s">
        <v>64</v>
      </c>
      <c r="J6" s="1111"/>
      <c r="K6" s="1111"/>
      <c r="L6" s="36"/>
      <c r="M6" s="125"/>
      <c r="N6" s="125"/>
      <c r="O6" s="125"/>
      <c r="P6" s="125"/>
      <c r="Q6" s="131"/>
      <c r="X6" s="133"/>
    </row>
    <row r="7" spans="2:24" s="35" customFormat="1" ht="18">
      <c r="B7" s="1178"/>
      <c r="C7" s="768">
        <v>2020</v>
      </c>
      <c r="D7" s="702">
        <v>2021</v>
      </c>
      <c r="E7" s="768">
        <v>2020</v>
      </c>
      <c r="F7" s="768">
        <v>2021</v>
      </c>
      <c r="G7" s="768">
        <v>2020</v>
      </c>
      <c r="H7" s="768">
        <v>2021</v>
      </c>
      <c r="I7" s="702">
        <v>2020</v>
      </c>
      <c r="J7" s="776">
        <v>2021</v>
      </c>
      <c r="K7" s="413" t="s">
        <v>8</v>
      </c>
      <c r="L7" s="36"/>
      <c r="M7" s="115"/>
      <c r="N7" s="211"/>
      <c r="O7" s="189"/>
      <c r="P7" s="125"/>
      <c r="Q7" s="131"/>
      <c r="R7" s="146"/>
      <c r="S7" s="146"/>
      <c r="X7" s="133"/>
    </row>
    <row r="8" spans="2:24" s="35" customFormat="1" ht="15.75" customHeight="1">
      <c r="B8" s="39" t="s">
        <v>47</v>
      </c>
      <c r="C8" s="583">
        <v>29721.919999999998</v>
      </c>
      <c r="D8" s="583">
        <v>23355.56</v>
      </c>
      <c r="E8" s="583">
        <v>36987.438999999998</v>
      </c>
      <c r="F8" s="583">
        <v>27135.919999999998</v>
      </c>
      <c r="G8" s="583">
        <v>29357.360000000001</v>
      </c>
      <c r="H8" s="583">
        <v>11675.478999999999</v>
      </c>
      <c r="I8" s="583">
        <v>96514.718999999997</v>
      </c>
      <c r="J8" s="583">
        <v>63398.959000000003</v>
      </c>
      <c r="K8" s="583">
        <f t="shared" ref="K8:K9" si="0">J8/I8*100-100</f>
        <v>-34.311616241663614</v>
      </c>
      <c r="L8" s="36"/>
      <c r="M8" s="934"/>
      <c r="N8" s="785"/>
      <c r="O8" s="785"/>
      <c r="P8" s="125"/>
      <c r="Q8" s="131"/>
      <c r="R8" s="146"/>
      <c r="S8" s="146"/>
      <c r="T8" s="191"/>
      <c r="U8" s="191"/>
      <c r="V8" s="191"/>
      <c r="W8" s="191"/>
      <c r="X8" s="133"/>
    </row>
    <row r="9" spans="2:24" s="35" customFormat="1" ht="15.75" customHeight="1">
      <c r="B9" s="39" t="s">
        <v>48</v>
      </c>
      <c r="C9" s="583">
        <v>10850.28</v>
      </c>
      <c r="D9" s="583">
        <v>9652.17</v>
      </c>
      <c r="E9" s="583">
        <v>51258.46</v>
      </c>
      <c r="F9" s="583">
        <v>40035.879999999997</v>
      </c>
      <c r="G9" s="583">
        <v>7430.4</v>
      </c>
      <c r="H9" s="583">
        <v>28791.278999999999</v>
      </c>
      <c r="I9" s="583">
        <v>69539.14</v>
      </c>
      <c r="J9" s="583">
        <v>79487.328999999998</v>
      </c>
      <c r="K9" s="583">
        <f t="shared" si="0"/>
        <v>14.305884427101063</v>
      </c>
      <c r="L9" s="36"/>
      <c r="M9" s="934"/>
      <c r="N9" s="536"/>
      <c r="O9" s="189"/>
      <c r="P9" s="125"/>
      <c r="Q9" s="131"/>
      <c r="R9" s="146"/>
      <c r="S9" s="146"/>
      <c r="T9" s="191"/>
      <c r="U9" s="191"/>
      <c r="V9" s="191"/>
      <c r="W9" s="191"/>
      <c r="X9" s="133"/>
    </row>
    <row r="10" spans="2:24" s="35" customFormat="1" ht="15.75" customHeight="1">
      <c r="B10" s="39" t="s">
        <v>49</v>
      </c>
      <c r="C10" s="583">
        <v>30163.23</v>
      </c>
      <c r="D10" s="583"/>
      <c r="E10" s="583">
        <v>57561.468000000001</v>
      </c>
      <c r="F10" s="583"/>
      <c r="G10" s="583">
        <v>31583.19</v>
      </c>
      <c r="H10" s="583"/>
      <c r="I10" s="583">
        <v>119307.88800000001</v>
      </c>
      <c r="J10" s="583"/>
      <c r="K10" s="583"/>
      <c r="L10" s="36"/>
      <c r="M10" s="934"/>
      <c r="N10" s="915"/>
      <c r="O10" s="189"/>
      <c r="P10" s="125"/>
      <c r="Q10" s="131"/>
      <c r="R10" s="146"/>
      <c r="S10" s="146"/>
      <c r="T10" s="191"/>
      <c r="U10" s="191"/>
      <c r="V10" s="191"/>
      <c r="W10" s="191"/>
      <c r="X10" s="133"/>
    </row>
    <row r="11" spans="2:24" s="35" customFormat="1" ht="15.75" customHeight="1">
      <c r="B11" s="39" t="s">
        <v>57</v>
      </c>
      <c r="C11" s="583">
        <v>24235.599999999999</v>
      </c>
      <c r="D11" s="583"/>
      <c r="E11" s="583">
        <v>34384.76</v>
      </c>
      <c r="F11" s="583"/>
      <c r="G11" s="583">
        <v>65602.820000000007</v>
      </c>
      <c r="H11" s="583"/>
      <c r="I11" s="583">
        <v>124223.18</v>
      </c>
      <c r="J11" s="583"/>
      <c r="K11" s="583"/>
      <c r="L11" s="36"/>
      <c r="M11" s="934"/>
      <c r="N11" s="536"/>
      <c r="O11" s="189"/>
      <c r="P11" s="125"/>
      <c r="Q11" s="131"/>
      <c r="R11" s="146"/>
      <c r="S11" s="146"/>
      <c r="T11" s="191"/>
      <c r="U11" s="191"/>
      <c r="V11" s="191"/>
      <c r="W11" s="191"/>
      <c r="X11" s="133"/>
    </row>
    <row r="12" spans="2:24" s="35" customFormat="1" ht="15.75" customHeight="1">
      <c r="B12" s="39" t="s">
        <v>58</v>
      </c>
      <c r="C12" s="583">
        <v>7136.96</v>
      </c>
      <c r="D12" s="583"/>
      <c r="E12" s="583">
        <v>23431.41</v>
      </c>
      <c r="F12" s="583"/>
      <c r="G12" s="583">
        <v>31617.23</v>
      </c>
      <c r="H12" s="583"/>
      <c r="I12" s="583">
        <v>62552.36</v>
      </c>
      <c r="J12" s="583"/>
      <c r="K12" s="583"/>
      <c r="L12" s="36"/>
      <c r="M12" s="934"/>
      <c r="N12" s="516"/>
      <c r="O12" s="189"/>
      <c r="P12" s="125"/>
      <c r="Q12" s="131"/>
      <c r="R12" s="146"/>
      <c r="S12" s="146"/>
      <c r="T12" s="191"/>
      <c r="U12" s="191"/>
      <c r="V12" s="191"/>
      <c r="W12" s="191"/>
      <c r="X12" s="133"/>
    </row>
    <row r="13" spans="2:24" s="35" customFormat="1" ht="15.75" customHeight="1">
      <c r="B13" s="39" t="s">
        <v>50</v>
      </c>
      <c r="C13" s="583">
        <v>7570.39</v>
      </c>
      <c r="D13" s="583"/>
      <c r="E13" s="583">
        <v>4783.232</v>
      </c>
      <c r="F13" s="583"/>
      <c r="G13" s="583">
        <v>1149.24</v>
      </c>
      <c r="H13" s="583"/>
      <c r="I13" s="583">
        <v>13641.522000000001</v>
      </c>
      <c r="J13" s="583"/>
      <c r="K13" s="583"/>
      <c r="L13" s="36"/>
      <c r="M13" s="934"/>
      <c r="N13" s="536"/>
      <c r="O13" s="189"/>
      <c r="P13" s="125"/>
      <c r="Q13" s="131"/>
      <c r="R13" s="146"/>
      <c r="S13" s="146"/>
      <c r="T13" s="191"/>
      <c r="U13" s="191"/>
      <c r="V13" s="191"/>
      <c r="W13" s="191"/>
      <c r="X13" s="133"/>
    </row>
    <row r="14" spans="2:24" s="35" customFormat="1" ht="15.75" customHeight="1">
      <c r="B14" s="39" t="s">
        <v>51</v>
      </c>
      <c r="C14" s="583">
        <v>43463.19</v>
      </c>
      <c r="D14" s="583"/>
      <c r="E14" s="583">
        <v>72682.009999999995</v>
      </c>
      <c r="F14" s="583"/>
      <c r="G14" s="583">
        <v>6595.02</v>
      </c>
      <c r="H14" s="583"/>
      <c r="I14" s="583">
        <v>123117.16</v>
      </c>
      <c r="J14" s="583"/>
      <c r="K14" s="583"/>
      <c r="L14" s="36"/>
      <c r="M14" s="934"/>
      <c r="N14" s="536"/>
      <c r="O14" s="189"/>
      <c r="P14" s="125"/>
      <c r="Q14" s="189"/>
      <c r="R14" s="146"/>
      <c r="S14" s="146"/>
      <c r="T14" s="191"/>
      <c r="U14" s="191"/>
      <c r="V14" s="191"/>
      <c r="W14" s="191"/>
      <c r="X14" s="133"/>
    </row>
    <row r="15" spans="2:24" s="35" customFormat="1" ht="15.75" customHeight="1">
      <c r="B15" s="64" t="s">
        <v>52</v>
      </c>
      <c r="C15" s="583">
        <v>33211.21</v>
      </c>
      <c r="D15" s="583"/>
      <c r="E15" s="583">
        <v>7582.82377</v>
      </c>
      <c r="F15" s="583"/>
      <c r="G15" s="583">
        <v>42739.1</v>
      </c>
      <c r="H15" s="583"/>
      <c r="I15" s="583">
        <v>92572.023770000014</v>
      </c>
      <c r="J15" s="583"/>
      <c r="K15" s="583"/>
      <c r="L15" s="36"/>
      <c r="M15" s="934"/>
      <c r="N15" s="211"/>
      <c r="O15" s="189"/>
      <c r="P15" s="125"/>
      <c r="Q15" s="131"/>
      <c r="R15" s="146"/>
      <c r="S15" s="146"/>
      <c r="T15" s="191"/>
      <c r="U15" s="191"/>
      <c r="V15" s="191"/>
      <c r="W15" s="191"/>
      <c r="X15" s="133"/>
    </row>
    <row r="16" spans="2:24" s="35" customFormat="1" ht="15.75" customHeight="1">
      <c r="B16" s="39" t="s">
        <v>53</v>
      </c>
      <c r="C16" s="583">
        <v>62332.69</v>
      </c>
      <c r="D16" s="583"/>
      <c r="E16" s="583">
        <v>11885.49</v>
      </c>
      <c r="F16" s="583"/>
      <c r="G16" s="583">
        <v>24311.17</v>
      </c>
      <c r="H16" s="583"/>
      <c r="I16" s="583">
        <v>98529.35</v>
      </c>
      <c r="J16" s="583"/>
      <c r="K16" s="583"/>
      <c r="L16" s="36"/>
      <c r="M16" s="934"/>
      <c r="N16" s="211"/>
      <c r="O16" s="189"/>
      <c r="P16" s="125"/>
      <c r="Q16" s="131"/>
      <c r="R16" s="146"/>
      <c r="S16" s="146"/>
      <c r="T16" s="191"/>
      <c r="U16" s="191"/>
      <c r="V16" s="191"/>
      <c r="W16" s="191"/>
      <c r="X16" s="133"/>
    </row>
    <row r="17" spans="2:24" s="35" customFormat="1" ht="15.75" customHeight="1">
      <c r="B17" s="39" t="s">
        <v>54</v>
      </c>
      <c r="C17" s="583">
        <v>65862.36</v>
      </c>
      <c r="D17" s="583"/>
      <c r="E17" s="583">
        <v>32412.535</v>
      </c>
      <c r="F17" s="583"/>
      <c r="G17" s="583">
        <v>57241.61</v>
      </c>
      <c r="H17" s="583"/>
      <c r="I17" s="583">
        <v>155516.505</v>
      </c>
      <c r="J17" s="583"/>
      <c r="K17" s="583"/>
      <c r="L17" s="36"/>
      <c r="M17" s="934"/>
      <c r="N17" s="582"/>
      <c r="O17" s="922"/>
      <c r="P17" s="544"/>
      <c r="Q17" s="542"/>
      <c r="R17" s="146"/>
      <c r="S17" s="146"/>
      <c r="T17" s="191"/>
      <c r="U17" s="191"/>
      <c r="V17" s="191"/>
      <c r="W17" s="191"/>
      <c r="X17" s="133"/>
    </row>
    <row r="18" spans="2:24" s="35" customFormat="1" ht="15.75" customHeight="1">
      <c r="B18" s="39" t="s">
        <v>55</v>
      </c>
      <c r="C18" s="583">
        <v>25961.177</v>
      </c>
      <c r="D18" s="583"/>
      <c r="E18" s="583">
        <v>39534.667000000001</v>
      </c>
      <c r="F18" s="583"/>
      <c r="G18" s="583">
        <v>20228.809000000001</v>
      </c>
      <c r="H18" s="583"/>
      <c r="I18" s="583">
        <v>85724.653000000006</v>
      </c>
      <c r="J18" s="583"/>
      <c r="K18" s="583"/>
      <c r="L18" s="36"/>
      <c r="M18" s="935"/>
      <c r="N18" s="543"/>
      <c r="O18" s="543"/>
      <c r="P18" s="544"/>
      <c r="Q18" s="542"/>
      <c r="T18" s="191"/>
      <c r="U18" s="191"/>
      <c r="V18" s="191"/>
      <c r="W18" s="191"/>
      <c r="X18" s="133"/>
    </row>
    <row r="19" spans="2:24" s="35" customFormat="1" ht="15.75" customHeight="1">
      <c r="B19" s="39" t="s">
        <v>159</v>
      </c>
      <c r="C19" s="583">
        <v>15535.3</v>
      </c>
      <c r="D19" s="583"/>
      <c r="E19" s="583">
        <v>56206.687299999998</v>
      </c>
      <c r="F19" s="583"/>
      <c r="G19" s="583">
        <v>23658.281999999999</v>
      </c>
      <c r="H19" s="583"/>
      <c r="I19" s="583">
        <v>95680.2693</v>
      </c>
      <c r="J19" s="583"/>
      <c r="K19" s="583"/>
      <c r="L19" s="36"/>
      <c r="M19" s="935"/>
      <c r="N19" s="543"/>
      <c r="O19" s="543"/>
      <c r="P19" s="544"/>
      <c r="Q19" s="542"/>
      <c r="T19" s="191"/>
      <c r="U19" s="191"/>
      <c r="V19" s="191"/>
      <c r="W19" s="191"/>
      <c r="X19" s="133"/>
    </row>
    <row r="20" spans="2:24" s="132" customFormat="1" ht="16.5" customHeight="1">
      <c r="B20" s="703" t="s">
        <v>64</v>
      </c>
      <c r="C20" s="583">
        <f t="shared" ref="C20:I20" si="1">SUM(C8:C19)</f>
        <v>356044.30700000003</v>
      </c>
      <c r="D20" s="583">
        <f t="shared" si="1"/>
        <v>33007.730000000003</v>
      </c>
      <c r="E20" s="583">
        <f t="shared" si="1"/>
        <v>428710.98206999997</v>
      </c>
      <c r="F20" s="583">
        <f t="shared" si="1"/>
        <v>67171.799999999988</v>
      </c>
      <c r="G20" s="583">
        <f t="shared" si="1"/>
        <v>341514.23100000003</v>
      </c>
      <c r="H20" s="583">
        <f t="shared" si="1"/>
        <v>40466.758000000002</v>
      </c>
      <c r="I20" s="583">
        <f t="shared" si="1"/>
        <v>1136918.7700699999</v>
      </c>
      <c r="J20" s="583">
        <f>SUM(J8:J19)</f>
        <v>142886.288</v>
      </c>
      <c r="K20" s="583"/>
      <c r="L20" s="131"/>
      <c r="M20" s="935"/>
      <c r="N20" s="921"/>
      <c r="O20" s="189"/>
      <c r="P20" s="125"/>
      <c r="Q20" s="131"/>
      <c r="X20" s="133"/>
    </row>
    <row r="21" spans="2:24" s="35" customFormat="1" ht="16.5" customHeight="1">
      <c r="B21" s="90" t="s">
        <v>423</v>
      </c>
      <c r="C21" s="707">
        <f>C20/I20</f>
        <v>0.31316600303650405</v>
      </c>
      <c r="D21" s="707">
        <f>D20/J20</f>
        <v>0.23100698087978885</v>
      </c>
      <c r="E21" s="707">
        <f>E20/I20</f>
        <v>0.37708145327181497</v>
      </c>
      <c r="F21" s="707">
        <f>F20/J20</f>
        <v>0.47010669071338734</v>
      </c>
      <c r="G21" s="707">
        <f>G20/I20</f>
        <v>0.30038577952141038</v>
      </c>
      <c r="H21" s="707">
        <f>H20/J20</f>
        <v>0.28320952672519567</v>
      </c>
      <c r="I21" s="707">
        <v>1</v>
      </c>
      <c r="J21" s="707">
        <v>1</v>
      </c>
      <c r="K21" s="708"/>
      <c r="L21" s="36"/>
      <c r="M21" s="189"/>
      <c r="N21" s="189"/>
      <c r="O21" s="189"/>
      <c r="P21" s="125"/>
      <c r="Q21" s="131"/>
      <c r="X21" s="133"/>
    </row>
    <row r="22" spans="2:24" s="35" customFormat="1" ht="15.75" customHeight="1">
      <c r="B22" s="1168" t="s">
        <v>719</v>
      </c>
      <c r="C22" s="1169"/>
      <c r="D22" s="1169"/>
      <c r="E22" s="1169"/>
      <c r="F22" s="1169"/>
      <c r="G22" s="1169"/>
      <c r="H22" s="1169"/>
      <c r="I22" s="1169"/>
      <c r="J22" s="1169"/>
      <c r="K22" s="1170"/>
      <c r="L22" s="36"/>
      <c r="M22" s="189"/>
      <c r="N22" s="189"/>
      <c r="P22" s="125"/>
      <c r="Q22" s="131"/>
      <c r="X22" s="133"/>
    </row>
    <row r="23" spans="2:24" s="35" customFormat="1" ht="48" customHeight="1">
      <c r="B23" s="1171"/>
      <c r="C23" s="1172"/>
      <c r="D23" s="1172"/>
      <c r="E23" s="1172"/>
      <c r="F23" s="1172"/>
      <c r="G23" s="1172"/>
      <c r="H23" s="1172"/>
      <c r="I23" s="1172"/>
      <c r="J23" s="1172"/>
      <c r="K23" s="1173"/>
      <c r="L23" s="36"/>
      <c r="M23" s="189"/>
      <c r="N23" s="189"/>
      <c r="O23" s="189"/>
      <c r="P23" s="125"/>
      <c r="Q23" s="131"/>
      <c r="X23" s="133"/>
    </row>
    <row r="24" spans="2:24" ht="17.25" customHeight="1">
      <c r="B24" s="1174"/>
      <c r="C24" s="1175"/>
      <c r="D24" s="1175"/>
      <c r="E24" s="1175"/>
      <c r="F24" s="1175"/>
      <c r="G24" s="1175"/>
      <c r="H24" s="1175"/>
      <c r="I24" s="1175"/>
      <c r="J24" s="1175"/>
      <c r="K24" s="1175"/>
    </row>
    <row r="25" spans="2:24" ht="15" customHeight="1">
      <c r="L25" s="1"/>
      <c r="M25" s="127"/>
      <c r="N25" s="127"/>
      <c r="O25" s="127"/>
    </row>
    <row r="26" spans="2:24" ht="15" customHeight="1">
      <c r="L26" s="1"/>
      <c r="M26" s="127"/>
      <c r="N26" s="127"/>
      <c r="O26" s="127"/>
    </row>
    <row r="27" spans="2:24" ht="15" customHeight="1">
      <c r="B27" s="16"/>
      <c r="C27" s="16"/>
      <c r="D27" s="16"/>
      <c r="E27" s="16"/>
      <c r="F27" s="16"/>
      <c r="L27" s="1"/>
      <c r="M27" s="127"/>
      <c r="N27" s="127"/>
      <c r="O27" s="127"/>
      <c r="T27" s="16"/>
      <c r="U27" s="16"/>
      <c r="V27" s="16"/>
      <c r="W27" s="16"/>
    </row>
    <row r="28" spans="2:24" ht="15" customHeight="1">
      <c r="C28" s="16"/>
      <c r="D28" s="16"/>
      <c r="E28" s="16"/>
      <c r="F28" s="16"/>
      <c r="L28" s="1"/>
      <c r="M28" s="545"/>
      <c r="N28" s="127"/>
      <c r="O28" s="127"/>
    </row>
    <row r="29" spans="2:24" ht="15" customHeight="1">
      <c r="L29" s="1"/>
      <c r="M29" s="127"/>
      <c r="N29" s="127"/>
      <c r="O29" s="127"/>
    </row>
    <row r="30" spans="2:24" ht="15" customHeight="1">
      <c r="L30" s="1"/>
      <c r="M30" s="127"/>
      <c r="N30" s="127"/>
      <c r="O30" s="127"/>
    </row>
    <row r="31" spans="2:24" ht="15" customHeight="1">
      <c r="L31" s="1"/>
      <c r="M31" s="127"/>
      <c r="N31" s="127"/>
      <c r="O31" s="127"/>
    </row>
    <row r="32" spans="2:24" ht="15" customHeight="1">
      <c r="L32" s="1"/>
      <c r="M32" s="127"/>
      <c r="N32" s="127"/>
      <c r="O32" s="127"/>
    </row>
    <row r="34" spans="12:24" ht="15" customHeight="1">
      <c r="L34" s="1"/>
      <c r="M34" s="127"/>
      <c r="N34" s="127"/>
      <c r="O34" s="127"/>
    </row>
    <row r="35" spans="12:24" ht="15" customHeight="1">
      <c r="L35" s="1"/>
      <c r="M35" s="127"/>
      <c r="N35" s="127"/>
      <c r="O35" s="127"/>
      <c r="X35" s="136"/>
    </row>
    <row r="36" spans="12:24" ht="15" customHeight="1">
      <c r="L36" s="1"/>
      <c r="M36" s="127"/>
      <c r="N36" s="127"/>
      <c r="O36" s="127"/>
    </row>
    <row r="37" spans="12:24" ht="15" customHeight="1">
      <c r="L37" s="1"/>
      <c r="M37" s="127"/>
      <c r="N37" s="127"/>
      <c r="O37" s="127"/>
    </row>
    <row r="38" spans="12:24" ht="15" customHeight="1">
      <c r="L38" s="1"/>
      <c r="M38" s="127"/>
      <c r="N38" s="127"/>
      <c r="O38" s="127"/>
    </row>
    <row r="51" spans="12:14">
      <c r="L51" s="1"/>
      <c r="M51" s="113"/>
      <c r="N51" s="113"/>
    </row>
    <row r="52" spans="12:14">
      <c r="L52" s="1"/>
      <c r="M52" s="113"/>
      <c r="N52" s="113"/>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pageSetUpPr fitToPage="1"/>
  </sheetPr>
  <dimension ref="B1:M24"/>
  <sheetViews>
    <sheetView zoomScaleNormal="100" workbookViewId="0">
      <selection activeCell="L22" sqref="L22"/>
    </sheetView>
  </sheetViews>
  <sheetFormatPr baseColWidth="10" defaultColWidth="10.90625" defaultRowHeight="12.75"/>
  <cols>
    <col min="1" max="1" width="1.6328125" style="493" customWidth="1"/>
    <col min="2" max="2" width="9.90625" style="493" customWidth="1"/>
    <col min="3" max="10" width="6.6328125" style="493" customWidth="1"/>
    <col min="11" max="16384" width="10.90625" style="493"/>
  </cols>
  <sheetData>
    <row r="1" spans="2:11">
      <c r="B1" s="1104" t="s">
        <v>77</v>
      </c>
      <c r="C1" s="1104"/>
      <c r="D1" s="1104"/>
      <c r="E1" s="1104"/>
      <c r="F1" s="1104"/>
      <c r="G1" s="1104"/>
      <c r="H1" s="1104"/>
      <c r="I1" s="1104"/>
      <c r="J1" s="1104"/>
      <c r="K1" s="25"/>
    </row>
    <row r="3" spans="2:11">
      <c r="B3" s="1077" t="s">
        <v>378</v>
      </c>
      <c r="C3" s="1077"/>
      <c r="D3" s="1077"/>
      <c r="E3" s="1077"/>
      <c r="F3" s="1077"/>
      <c r="G3" s="1077"/>
      <c r="H3" s="1077"/>
      <c r="I3" s="1077"/>
      <c r="J3" s="1077"/>
    </row>
    <row r="4" spans="2:11">
      <c r="B4" s="1180" t="s">
        <v>677</v>
      </c>
      <c r="C4" s="1077"/>
      <c r="D4" s="1077"/>
      <c r="E4" s="1077"/>
      <c r="F4" s="1077"/>
      <c r="G4" s="1077"/>
      <c r="H4" s="1077"/>
      <c r="I4" s="1077"/>
      <c r="J4" s="1077"/>
    </row>
    <row r="5" spans="2:11" ht="13.5" customHeight="1">
      <c r="B5" s="1077" t="s">
        <v>166</v>
      </c>
      <c r="C5" s="1077"/>
      <c r="D5" s="1077"/>
      <c r="E5" s="1077"/>
      <c r="F5" s="1077"/>
      <c r="G5" s="1077"/>
      <c r="H5" s="1077"/>
      <c r="I5" s="1077"/>
      <c r="J5" s="1077"/>
    </row>
    <row r="6" spans="2:11" ht="104.25" customHeight="1">
      <c r="B6" s="713" t="s">
        <v>367</v>
      </c>
      <c r="C6" s="1182" t="s">
        <v>369</v>
      </c>
      <c r="D6" s="1182"/>
      <c r="E6" s="1183" t="s">
        <v>657</v>
      </c>
      <c r="F6" s="1182"/>
      <c r="G6" s="1182" t="s">
        <v>445</v>
      </c>
      <c r="H6" s="1182"/>
      <c r="I6" s="1182" t="s">
        <v>371</v>
      </c>
      <c r="J6" s="1182"/>
    </row>
    <row r="7" spans="2:11" ht="15.75" customHeight="1">
      <c r="B7" s="714" t="s">
        <v>368</v>
      </c>
      <c r="C7" s="1181" t="s">
        <v>94</v>
      </c>
      <c r="D7" s="1181"/>
      <c r="E7" s="1181" t="s">
        <v>93</v>
      </c>
      <c r="F7" s="1181"/>
      <c r="G7" s="1181" t="s">
        <v>92</v>
      </c>
      <c r="H7" s="1181"/>
      <c r="I7" s="1181" t="s">
        <v>59</v>
      </c>
      <c r="J7" s="1181"/>
    </row>
    <row r="8" spans="2:11" ht="15.75" customHeight="1">
      <c r="B8" s="715" t="s">
        <v>96</v>
      </c>
      <c r="C8" s="604">
        <v>2020</v>
      </c>
      <c r="D8" s="604">
        <v>2021</v>
      </c>
      <c r="E8" s="604">
        <v>2020</v>
      </c>
      <c r="F8" s="604">
        <v>2021</v>
      </c>
      <c r="G8" s="604">
        <v>2020</v>
      </c>
      <c r="H8" s="604">
        <v>2021</v>
      </c>
      <c r="I8" s="604">
        <v>2020</v>
      </c>
      <c r="J8" s="604">
        <v>2021</v>
      </c>
    </row>
    <row r="9" spans="2:11" ht="15.75" customHeight="1">
      <c r="B9" s="715" t="s">
        <v>47</v>
      </c>
      <c r="C9" s="583">
        <v>18199.61</v>
      </c>
      <c r="D9" s="583">
        <v>10533.627</v>
      </c>
      <c r="E9" s="583">
        <v>24258.438999999998</v>
      </c>
      <c r="F9" s="583">
        <v>25466.400000000001</v>
      </c>
      <c r="G9" s="583">
        <v>29721.919999999998</v>
      </c>
      <c r="H9" s="583">
        <v>0</v>
      </c>
      <c r="I9" s="583">
        <v>448</v>
      </c>
      <c r="J9" s="583">
        <v>1232</v>
      </c>
    </row>
    <row r="10" spans="2:11" ht="15.75" customHeight="1">
      <c r="B10" s="715" t="s">
        <v>48</v>
      </c>
      <c r="C10" s="583">
        <v>7430.4</v>
      </c>
      <c r="D10" s="583">
        <v>15955.329</v>
      </c>
      <c r="E10" s="583">
        <v>26160.19</v>
      </c>
      <c r="F10" s="583">
        <v>30649.65</v>
      </c>
      <c r="G10" s="583">
        <v>10850.28</v>
      </c>
      <c r="H10" s="583">
        <v>9652.17</v>
      </c>
      <c r="I10" s="583">
        <v>0</v>
      </c>
      <c r="J10" s="583">
        <v>1008</v>
      </c>
    </row>
    <row r="11" spans="2:11" ht="15.75" customHeight="1">
      <c r="B11" s="715" t="s">
        <v>49</v>
      </c>
      <c r="C11" s="583">
        <v>7239.93</v>
      </c>
      <c r="D11" s="583"/>
      <c r="E11" s="583">
        <v>39632.387999999999</v>
      </c>
      <c r="F11" s="583"/>
      <c r="G11" s="583">
        <v>30163.23</v>
      </c>
      <c r="H11" s="583"/>
      <c r="I11" s="583">
        <v>0</v>
      </c>
      <c r="J11" s="583"/>
    </row>
    <row r="12" spans="2:11" ht="15.75" customHeight="1">
      <c r="B12" s="715" t="s">
        <v>57</v>
      </c>
      <c r="C12" s="583">
        <v>30480.86</v>
      </c>
      <c r="D12" s="583"/>
      <c r="E12" s="583">
        <v>21523.07</v>
      </c>
      <c r="F12" s="583"/>
      <c r="G12" s="583">
        <v>24235.599999999999</v>
      </c>
      <c r="H12" s="583"/>
      <c r="I12" s="583">
        <v>0</v>
      </c>
      <c r="J12" s="583"/>
    </row>
    <row r="13" spans="2:11" ht="15.75" customHeight="1">
      <c r="B13" s="715" t="s">
        <v>58</v>
      </c>
      <c r="C13" s="583">
        <v>2263.54</v>
      </c>
      <c r="D13" s="583"/>
      <c r="E13" s="583">
        <v>11620.18</v>
      </c>
      <c r="F13" s="583"/>
      <c r="G13" s="583">
        <v>7136.96</v>
      </c>
      <c r="H13" s="583"/>
      <c r="I13" s="583">
        <v>366.76</v>
      </c>
      <c r="J13" s="583"/>
    </row>
    <row r="14" spans="2:11" ht="15.75" customHeight="1">
      <c r="B14" s="715" t="s">
        <v>50</v>
      </c>
      <c r="C14" s="583">
        <v>0</v>
      </c>
      <c r="D14" s="583"/>
      <c r="E14" s="583">
        <v>774.84199999999998</v>
      </c>
      <c r="F14" s="583"/>
      <c r="G14" s="583">
        <v>0</v>
      </c>
      <c r="H14" s="583"/>
      <c r="I14" s="583">
        <v>138.66</v>
      </c>
      <c r="J14" s="583"/>
    </row>
    <row r="15" spans="2:11" ht="15.75" customHeight="1">
      <c r="B15" s="715" t="s">
        <v>51</v>
      </c>
      <c r="C15" s="583">
        <v>6595.02</v>
      </c>
      <c r="D15" s="583"/>
      <c r="E15" s="583">
        <v>0</v>
      </c>
      <c r="F15" s="583"/>
      <c r="G15" s="583">
        <v>0</v>
      </c>
      <c r="H15" s="583"/>
      <c r="I15" s="583">
        <v>376.94</v>
      </c>
      <c r="J15" s="583"/>
    </row>
    <row r="16" spans="2:11" ht="15.75" customHeight="1">
      <c r="B16" s="715" t="s">
        <v>52</v>
      </c>
      <c r="C16" s="737">
        <v>0</v>
      </c>
      <c r="D16" s="737"/>
      <c r="E16" s="737">
        <v>0</v>
      </c>
      <c r="F16" s="737"/>
      <c r="G16" s="737">
        <v>0</v>
      </c>
      <c r="H16" s="737"/>
      <c r="I16" s="737">
        <v>420</v>
      </c>
      <c r="J16" s="737"/>
    </row>
    <row r="17" spans="2:13" ht="15.75" customHeight="1">
      <c r="B17" s="715" t="s">
        <v>53</v>
      </c>
      <c r="C17" s="583">
        <v>0</v>
      </c>
      <c r="D17" s="737"/>
      <c r="E17" s="583">
        <v>0</v>
      </c>
      <c r="F17" s="583"/>
      <c r="G17" s="737">
        <v>0</v>
      </c>
      <c r="H17" s="737"/>
      <c r="I17" s="906">
        <v>0</v>
      </c>
      <c r="J17" s="906"/>
    </row>
    <row r="18" spans="2:13" ht="15.75" customHeight="1">
      <c r="B18" s="715" t="s">
        <v>54</v>
      </c>
      <c r="C18" s="583">
        <v>0</v>
      </c>
      <c r="D18" s="583"/>
      <c r="E18" s="583">
        <v>0</v>
      </c>
      <c r="F18" s="583"/>
      <c r="G18" s="583">
        <v>0</v>
      </c>
      <c r="H18" s="583"/>
      <c r="I18" s="583">
        <v>0</v>
      </c>
      <c r="J18" s="583"/>
    </row>
    <row r="19" spans="2:13" ht="15.75" customHeight="1">
      <c r="B19" s="715" t="s">
        <v>55</v>
      </c>
      <c r="C19" s="583">
        <v>0</v>
      </c>
      <c r="D19" s="583"/>
      <c r="E19" s="583">
        <v>0</v>
      </c>
      <c r="F19" s="583"/>
      <c r="G19" s="583">
        <v>0</v>
      </c>
      <c r="H19" s="583"/>
      <c r="I19" s="737">
        <v>0</v>
      </c>
      <c r="J19" s="737"/>
    </row>
    <row r="20" spans="2:13" ht="15.75" customHeight="1">
      <c r="B20" s="715" t="s">
        <v>56</v>
      </c>
      <c r="C20" s="583">
        <v>19394.55</v>
      </c>
      <c r="D20" s="583"/>
      <c r="E20" s="583">
        <v>0</v>
      </c>
      <c r="F20" s="583"/>
      <c r="G20" s="583">
        <v>0</v>
      </c>
      <c r="H20" s="583"/>
      <c r="I20" s="737">
        <v>280</v>
      </c>
      <c r="J20" s="737"/>
      <c r="L20" s="570"/>
    </row>
    <row r="21" spans="2:13">
      <c r="B21" s="716" t="s">
        <v>64</v>
      </c>
      <c r="C21" s="583">
        <f t="shared" ref="C21:I21" si="0">SUM(C9:C20)</f>
        <v>91603.91</v>
      </c>
      <c r="D21" s="583">
        <f t="shared" si="0"/>
        <v>26488.955999999998</v>
      </c>
      <c r="E21" s="583">
        <f>SUM(E9:E20)</f>
        <v>123969.109</v>
      </c>
      <c r="F21" s="583">
        <f t="shared" si="0"/>
        <v>56116.05</v>
      </c>
      <c r="G21" s="583">
        <f t="shared" si="0"/>
        <v>102107.99</v>
      </c>
      <c r="H21" s="583">
        <f t="shared" si="0"/>
        <v>9652.17</v>
      </c>
      <c r="I21" s="583">
        <f t="shared" si="0"/>
        <v>2030.36</v>
      </c>
      <c r="J21" s="583">
        <f>SUM(J9:J20)</f>
        <v>2240</v>
      </c>
      <c r="K21" s="570"/>
      <c r="L21" s="570"/>
    </row>
    <row r="22" spans="2:13" ht="54" customHeight="1">
      <c r="B22" s="1179" t="s">
        <v>694</v>
      </c>
      <c r="C22" s="1179"/>
      <c r="D22" s="1179"/>
      <c r="E22" s="1179"/>
      <c r="F22" s="1179"/>
      <c r="G22" s="1179"/>
      <c r="H22" s="1179"/>
      <c r="I22" s="1179"/>
      <c r="J22" s="1179"/>
      <c r="M22" s="86"/>
    </row>
    <row r="24" spans="2:13" s="86" customFormat="1" ht="63.75" customHeight="1">
      <c r="B24" s="1138" t="s">
        <v>738</v>
      </c>
      <c r="C24" s="1138"/>
      <c r="D24" s="1138"/>
      <c r="E24" s="1138"/>
      <c r="F24" s="1138"/>
      <c r="G24" s="1138"/>
      <c r="H24" s="1138"/>
      <c r="I24" s="1138"/>
      <c r="J24" s="1138"/>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topLeftCell="A4" zoomScaleNormal="100" workbookViewId="0">
      <selection activeCell="O20" sqref="O20"/>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872" customWidth="1"/>
    <col min="14" max="14" width="4.7265625" style="780" bestFit="1" customWidth="1"/>
    <col min="15" max="15" width="4" style="780" customWidth="1"/>
    <col min="16" max="17" width="4.26953125" style="780" customWidth="1"/>
    <col min="18" max="18" width="4.7265625" style="889" customWidth="1"/>
    <col min="19" max="19" width="3.54296875" style="872" customWidth="1"/>
    <col min="20" max="20" width="7.54296875" style="758" customWidth="1"/>
    <col min="21" max="21" width="3.54296875" style="758" customWidth="1"/>
    <col min="22" max="30" width="3.54296875" style="872" customWidth="1"/>
    <col min="31" max="31" width="7.90625" style="1" customWidth="1"/>
    <col min="32" max="32" width="2" style="1" customWidth="1"/>
    <col min="33" max="38" width="3" style="4" customWidth="1"/>
    <col min="39" max="16384" width="10.90625" style="1"/>
  </cols>
  <sheetData>
    <row r="1" spans="2:32" s="35" customFormat="1" ht="12.75" customHeight="1">
      <c r="B1" s="1184" t="s">
        <v>78</v>
      </c>
      <c r="C1" s="1184"/>
      <c r="D1" s="1184"/>
      <c r="E1" s="1184"/>
      <c r="F1" s="1184"/>
      <c r="G1" s="1184"/>
      <c r="H1" s="1184"/>
      <c r="I1" s="1184"/>
      <c r="J1" s="1184"/>
      <c r="K1" s="1184"/>
      <c r="M1" s="774"/>
      <c r="N1" s="782"/>
      <c r="O1" s="782"/>
      <c r="P1" s="782"/>
      <c r="Q1" s="782"/>
      <c r="R1" s="1055"/>
      <c r="S1" s="774"/>
      <c r="T1" s="590"/>
      <c r="U1" s="590"/>
      <c r="V1" s="774"/>
      <c r="W1" s="774"/>
      <c r="X1" s="774"/>
      <c r="Y1" s="774"/>
      <c r="Z1" s="774"/>
      <c r="AA1" s="774"/>
      <c r="AB1" s="774"/>
      <c r="AC1" s="774"/>
      <c r="AD1" s="774"/>
    </row>
    <row r="2" spans="2:32" s="35" customFormat="1" ht="12.75">
      <c r="M2" s="774"/>
      <c r="N2" s="782"/>
      <c r="O2" s="782"/>
      <c r="P2" s="782"/>
      <c r="Q2" s="782"/>
      <c r="R2" s="1055"/>
      <c r="S2" s="774"/>
      <c r="T2" s="590"/>
      <c r="U2" s="590"/>
      <c r="V2" s="774"/>
      <c r="W2" s="774"/>
      <c r="X2" s="774"/>
      <c r="Y2" s="774"/>
      <c r="Z2" s="774"/>
      <c r="AA2" s="774"/>
      <c r="AB2" s="774"/>
      <c r="AC2" s="774"/>
      <c r="AD2" s="774"/>
    </row>
    <row r="3" spans="2:32" s="35" customFormat="1" ht="12.75">
      <c r="B3" s="1104" t="s">
        <v>435</v>
      </c>
      <c r="C3" s="1104"/>
      <c r="D3" s="1104"/>
      <c r="E3" s="1104"/>
      <c r="F3" s="1104"/>
      <c r="G3" s="1104"/>
      <c r="H3" s="1104"/>
      <c r="I3" s="1104"/>
      <c r="J3" s="1104"/>
      <c r="K3" s="1104"/>
      <c r="M3" s="774"/>
      <c r="N3" s="782"/>
      <c r="O3" s="782"/>
      <c r="P3" s="782"/>
      <c r="Q3" s="782"/>
      <c r="R3" s="1055"/>
      <c r="S3" s="774"/>
      <c r="T3" s="590"/>
      <c r="U3" s="590"/>
      <c r="V3" s="774"/>
      <c r="W3" s="774"/>
      <c r="X3" s="774"/>
      <c r="Y3" s="774"/>
      <c r="Z3" s="774"/>
      <c r="AA3" s="774"/>
      <c r="AB3" s="774"/>
      <c r="AC3" s="774"/>
      <c r="AD3" s="774"/>
    </row>
    <row r="4" spans="2:32" s="35" customFormat="1" ht="12.75">
      <c r="B4" s="1160" t="s">
        <v>678</v>
      </c>
      <c r="C4" s="1160"/>
      <c r="D4" s="1160"/>
      <c r="E4" s="1160"/>
      <c r="F4" s="1160"/>
      <c r="G4" s="1160"/>
      <c r="H4" s="1160"/>
      <c r="I4" s="1160"/>
      <c r="J4" s="1160"/>
      <c r="K4" s="1160"/>
      <c r="M4" s="774"/>
      <c r="N4" s="782"/>
      <c r="O4" s="782"/>
      <c r="P4" s="782"/>
      <c r="Q4" s="807"/>
      <c r="R4" s="1056"/>
      <c r="S4" s="774"/>
      <c r="T4" s="590"/>
      <c r="U4" s="590"/>
      <c r="V4" s="774"/>
      <c r="W4" s="774"/>
      <c r="X4" s="774"/>
      <c r="Y4" s="774"/>
      <c r="Z4" s="774"/>
      <c r="AA4" s="774"/>
      <c r="AB4" s="774"/>
      <c r="AC4" s="774"/>
      <c r="AD4" s="774"/>
    </row>
    <row r="5" spans="2:32" s="35" customFormat="1" ht="12.75">
      <c r="B5" s="1160" t="s">
        <v>134</v>
      </c>
      <c r="C5" s="1160"/>
      <c r="D5" s="1160"/>
      <c r="E5" s="1160"/>
      <c r="F5" s="1160"/>
      <c r="G5" s="1160"/>
      <c r="H5" s="1160"/>
      <c r="I5" s="1160"/>
      <c r="J5" s="1160"/>
      <c r="K5" s="1160"/>
      <c r="M5" s="774"/>
      <c r="N5" s="782"/>
      <c r="O5" s="782"/>
      <c r="P5" s="782"/>
      <c r="Q5" s="782"/>
      <c r="R5" s="1055"/>
      <c r="S5" s="917"/>
      <c r="T5" s="977"/>
      <c r="U5" s="977"/>
      <c r="V5" s="917"/>
      <c r="W5" s="917"/>
      <c r="X5" s="917"/>
      <c r="Y5" s="774"/>
      <c r="Z5" s="774"/>
      <c r="AA5" s="774"/>
      <c r="AB5" s="774"/>
      <c r="AC5" s="774"/>
      <c r="AD5" s="774"/>
    </row>
    <row r="6" spans="2:32" s="35" customFormat="1" ht="30" customHeight="1">
      <c r="B6" s="837" t="s">
        <v>96</v>
      </c>
      <c r="C6" s="1177" t="s">
        <v>145</v>
      </c>
      <c r="D6" s="1177"/>
      <c r="E6" s="1177" t="s">
        <v>94</v>
      </c>
      <c r="F6" s="1177"/>
      <c r="G6" s="1177" t="s">
        <v>111</v>
      </c>
      <c r="H6" s="1177"/>
      <c r="I6" s="1111" t="s">
        <v>64</v>
      </c>
      <c r="J6" s="1111"/>
      <c r="K6" s="1111"/>
      <c r="M6" s="1057"/>
      <c r="N6" s="973"/>
      <c r="O6" s="973"/>
      <c r="P6" s="973"/>
      <c r="Q6" s="807"/>
      <c r="R6" s="1056"/>
      <c r="S6" s="918"/>
      <c r="T6" s="978"/>
      <c r="U6" s="978"/>
      <c r="V6" s="918"/>
      <c r="W6" s="918"/>
      <c r="X6" s="918"/>
      <c r="Y6" s="917"/>
      <c r="Z6" s="917"/>
      <c r="AA6" s="774"/>
      <c r="AB6" s="774"/>
      <c r="AC6" s="774"/>
      <c r="AD6" s="774"/>
    </row>
    <row r="7" spans="2:32" s="35" customFormat="1" ht="15.75" customHeight="1">
      <c r="B7" s="421"/>
      <c r="C7" s="604">
        <v>2020</v>
      </c>
      <c r="D7" s="604">
        <v>2021</v>
      </c>
      <c r="E7" s="604">
        <v>2020</v>
      </c>
      <c r="F7" s="604">
        <v>2021</v>
      </c>
      <c r="G7" s="604">
        <v>2020</v>
      </c>
      <c r="H7" s="604">
        <v>2021</v>
      </c>
      <c r="I7" s="604">
        <v>2020</v>
      </c>
      <c r="J7" s="604">
        <v>2021</v>
      </c>
      <c r="K7" s="330" t="s">
        <v>8</v>
      </c>
      <c r="M7" s="1058"/>
      <c r="N7" s="756"/>
      <c r="O7" s="756" t="s">
        <v>94</v>
      </c>
      <c r="P7" s="782" t="s">
        <v>541</v>
      </c>
      <c r="Q7" s="808" t="s">
        <v>542</v>
      </c>
      <c r="R7" s="1059"/>
      <c r="S7" s="918"/>
      <c r="T7" s="978"/>
      <c r="U7" s="978"/>
      <c r="V7" s="918"/>
      <c r="W7" s="918"/>
      <c r="X7" s="918"/>
      <c r="Y7" s="918"/>
      <c r="Z7" s="918"/>
      <c r="AA7" s="917"/>
      <c r="AB7" s="917"/>
      <c r="AC7" s="917"/>
      <c r="AD7" s="917"/>
      <c r="AE7" s="822"/>
      <c r="AF7" s="822"/>
    </row>
    <row r="8" spans="2:32" s="35" customFormat="1" ht="15.75" customHeight="1">
      <c r="B8" s="96" t="s">
        <v>47</v>
      </c>
      <c r="C8" s="779">
        <v>170.00229653909187</v>
      </c>
      <c r="D8" s="779">
        <v>175.87005961990735</v>
      </c>
      <c r="E8" s="779">
        <v>181.49013191736245</v>
      </c>
      <c r="F8" s="779">
        <v>173.93033387186944</v>
      </c>
      <c r="G8" s="779">
        <v>179.84608737526446</v>
      </c>
      <c r="H8" s="779">
        <v>162.40294117833042</v>
      </c>
      <c r="I8" s="779">
        <v>175.30409397100351</v>
      </c>
      <c r="J8" s="779">
        <v>186</v>
      </c>
      <c r="K8" s="740">
        <f t="shared" ref="K8:K9" si="0">J8/I8*100-100</f>
        <v>6.1013441196448497</v>
      </c>
      <c r="M8" s="774"/>
      <c r="N8" s="781">
        <v>43831</v>
      </c>
      <c r="O8" s="974">
        <v>181.49013191736245</v>
      </c>
      <c r="P8" s="974">
        <v>179.84608737526446</v>
      </c>
      <c r="Q8" s="974">
        <v>170.00229653909187</v>
      </c>
      <c r="R8" s="1059"/>
      <c r="S8" s="918"/>
      <c r="T8" s="978"/>
      <c r="U8" s="978"/>
      <c r="V8" s="918"/>
      <c r="W8" s="918"/>
      <c r="X8" s="918"/>
      <c r="Y8" s="918"/>
      <c r="Z8" s="918"/>
      <c r="AA8" s="918"/>
      <c r="AB8" s="918"/>
      <c r="AC8" s="918"/>
      <c r="AD8" s="774"/>
    </row>
    <row r="9" spans="2:32" s="35" customFormat="1" ht="15.75" customHeight="1">
      <c r="B9" s="96" t="s">
        <v>48</v>
      </c>
      <c r="C9" s="779">
        <v>173.69576799811472</v>
      </c>
      <c r="D9" s="779">
        <v>189.30695667784781</v>
      </c>
      <c r="E9" s="779">
        <v>189.39620218483532</v>
      </c>
      <c r="F9" s="779">
        <v>186.40526781787636</v>
      </c>
      <c r="G9" s="779">
        <v>186.75110999999998</v>
      </c>
      <c r="H9" s="779">
        <v>190.02701916172467</v>
      </c>
      <c r="I9" s="779">
        <v>186.18503153737592</v>
      </c>
      <c r="J9" s="779">
        <v>188.41974828926126</v>
      </c>
      <c r="K9" s="740">
        <f t="shared" si="0"/>
        <v>1.2002666022250708</v>
      </c>
      <c r="M9" s="1060"/>
      <c r="N9" s="781">
        <v>43862</v>
      </c>
      <c r="O9" s="974">
        <v>189.39620218483532</v>
      </c>
      <c r="P9" s="974">
        <v>186.75110999999998</v>
      </c>
      <c r="Q9" s="974">
        <v>173.69576799811472</v>
      </c>
      <c r="R9" s="1059"/>
      <c r="S9" s="918"/>
      <c r="T9" s="978"/>
      <c r="U9" s="978"/>
      <c r="V9" s="918"/>
      <c r="W9" s="918"/>
      <c r="X9" s="918"/>
      <c r="Y9" s="918"/>
      <c r="Z9" s="918"/>
      <c r="AA9" s="918"/>
      <c r="AB9" s="918"/>
      <c r="AC9" s="918"/>
      <c r="AD9" s="774"/>
    </row>
    <row r="10" spans="2:32" s="35" customFormat="1" ht="15.75" customHeight="1">
      <c r="B10" s="96" t="s">
        <v>49</v>
      </c>
      <c r="C10" s="779">
        <v>182.75104898120671</v>
      </c>
      <c r="D10" s="779"/>
      <c r="E10" s="779">
        <v>217.85601603699948</v>
      </c>
      <c r="F10" s="779"/>
      <c r="G10" s="779">
        <v>220.90781266580973</v>
      </c>
      <c r="H10" s="779"/>
      <c r="I10" s="777">
        <v>196.73134444714086</v>
      </c>
      <c r="J10" s="777"/>
      <c r="K10" s="740"/>
      <c r="M10" s="774"/>
      <c r="N10" s="781">
        <v>43891</v>
      </c>
      <c r="O10" s="974">
        <v>217.85601603699948</v>
      </c>
      <c r="P10" s="974">
        <v>220.90781266580973</v>
      </c>
      <c r="Q10" s="974">
        <v>182.75104898120671</v>
      </c>
      <c r="R10" s="1059"/>
      <c r="S10" s="918"/>
      <c r="T10" s="978"/>
      <c r="U10" s="978"/>
      <c r="V10" s="918"/>
      <c r="W10" s="918"/>
      <c r="X10" s="918"/>
      <c r="Y10" s="918"/>
      <c r="Z10" s="918"/>
      <c r="AA10" s="918"/>
      <c r="AB10" s="918"/>
      <c r="AC10" s="918"/>
      <c r="AD10" s="774"/>
    </row>
    <row r="11" spans="2:32" s="35" customFormat="1" ht="15.75" customHeight="1">
      <c r="B11" s="96" t="s">
        <v>57</v>
      </c>
      <c r="C11" s="779">
        <v>199.60643765752232</v>
      </c>
      <c r="D11" s="779"/>
      <c r="E11" s="779">
        <v>218.12383990791238</v>
      </c>
      <c r="F11" s="779"/>
      <c r="G11" s="779">
        <v>214.75067418770325</v>
      </c>
      <c r="H11" s="779"/>
      <c r="I11" s="779">
        <v>209.48322419267637</v>
      </c>
      <c r="J11" s="779"/>
      <c r="K11" s="740"/>
      <c r="M11" s="774"/>
      <c r="N11" s="781">
        <v>43922</v>
      </c>
      <c r="O11" s="975"/>
      <c r="P11" s="975"/>
      <c r="Q11" s="974">
        <v>199.60643765752232</v>
      </c>
      <c r="R11" s="1059"/>
      <c r="S11" s="918"/>
      <c r="T11" s="978"/>
      <c r="U11" s="978"/>
      <c r="V11" s="918"/>
      <c r="W11" s="918"/>
      <c r="X11" s="918"/>
      <c r="Y11" s="918"/>
      <c r="Z11" s="918"/>
      <c r="AA11" s="918"/>
      <c r="AB11" s="918"/>
      <c r="AC11" s="918"/>
      <c r="AD11" s="774"/>
    </row>
    <row r="12" spans="2:32" s="35" customFormat="1" ht="15.75" customHeight="1">
      <c r="B12" s="96" t="s">
        <v>58</v>
      </c>
      <c r="C12" s="779">
        <v>197.54904988549347</v>
      </c>
      <c r="D12" s="779"/>
      <c r="E12" s="779">
        <v>212.57714110417325</v>
      </c>
      <c r="F12" s="779"/>
      <c r="G12" s="779">
        <v>208.17982594751942</v>
      </c>
      <c r="H12" s="779"/>
      <c r="I12" s="779">
        <v>208.66761013881006</v>
      </c>
      <c r="J12" s="779"/>
      <c r="K12" s="740"/>
      <c r="M12" s="774"/>
      <c r="N12" s="781">
        <v>43952</v>
      </c>
      <c r="O12" s="782">
        <v>213</v>
      </c>
      <c r="P12" s="782">
        <v>208</v>
      </c>
      <c r="Q12" s="974">
        <v>197.54904988549347</v>
      </c>
      <c r="R12" s="1059"/>
      <c r="S12" s="918"/>
      <c r="T12" s="590"/>
      <c r="U12" s="590"/>
      <c r="V12" s="918"/>
      <c r="W12" s="918"/>
      <c r="X12" s="918"/>
      <c r="Y12" s="918"/>
      <c r="Z12" s="918"/>
      <c r="AA12" s="918"/>
      <c r="AB12" s="918"/>
      <c r="AC12" s="918"/>
      <c r="AD12" s="774"/>
    </row>
    <row r="13" spans="2:32" s="35" customFormat="1" ht="15.75" customHeight="1">
      <c r="B13" s="96" t="s">
        <v>50</v>
      </c>
      <c r="C13" s="779">
        <v>183.22657214412229</v>
      </c>
      <c r="D13" s="779"/>
      <c r="E13" s="779">
        <v>198.7553019884445</v>
      </c>
      <c r="F13" s="779"/>
      <c r="G13" s="779">
        <v>198.7553019884445</v>
      </c>
      <c r="H13" s="779"/>
      <c r="I13" s="779">
        <v>204.72722346031475</v>
      </c>
      <c r="J13" s="779"/>
      <c r="K13" s="740"/>
      <c r="L13" s="845"/>
      <c r="M13" s="1058"/>
      <c r="N13" s="781">
        <v>43983</v>
      </c>
      <c r="O13" s="782">
        <v>199</v>
      </c>
      <c r="P13" s="782">
        <v>199</v>
      </c>
      <c r="Q13" s="974">
        <v>183.22657214412229</v>
      </c>
      <c r="R13" s="1059"/>
      <c r="S13" s="918"/>
      <c r="T13" s="977"/>
      <c r="U13" s="977"/>
      <c r="V13" s="918"/>
      <c r="W13" s="774"/>
      <c r="X13" s="774"/>
      <c r="Y13" s="918"/>
      <c r="Z13" s="918"/>
      <c r="AA13" s="918"/>
      <c r="AB13" s="918"/>
      <c r="AC13" s="918"/>
      <c r="AD13" s="774"/>
    </row>
    <row r="14" spans="2:32" s="132" customFormat="1" ht="15.75" customHeight="1">
      <c r="B14" s="838" t="s">
        <v>51</v>
      </c>
      <c r="C14" s="779">
        <v>214.90895754181034</v>
      </c>
      <c r="D14" s="779"/>
      <c r="E14" s="779">
        <v>215.47817518818744</v>
      </c>
      <c r="F14" s="779"/>
      <c r="G14" s="779">
        <v>204.28536618444053</v>
      </c>
      <c r="H14" s="779"/>
      <c r="I14" s="779">
        <v>201.58200093515558</v>
      </c>
      <c r="J14" s="779"/>
      <c r="K14" s="740"/>
      <c r="M14" s="1058"/>
      <c r="N14" s="781">
        <v>44013</v>
      </c>
      <c r="O14" s="782">
        <v>215</v>
      </c>
      <c r="P14" s="782">
        <v>204</v>
      </c>
      <c r="Q14" s="974">
        <v>214.90895754181034</v>
      </c>
      <c r="R14" s="1059"/>
      <c r="S14" s="918"/>
      <c r="T14" s="978"/>
      <c r="U14" s="978"/>
      <c r="V14" s="774"/>
      <c r="W14" s="774"/>
      <c r="X14" s="917"/>
      <c r="Y14" s="774"/>
      <c r="Z14" s="774"/>
      <c r="AA14" s="918"/>
      <c r="AB14" s="918"/>
      <c r="AC14" s="918"/>
      <c r="AD14" s="907"/>
    </row>
    <row r="15" spans="2:32" s="35" customFormat="1" ht="15.75" customHeight="1">
      <c r="B15" s="96" t="s">
        <v>52</v>
      </c>
      <c r="C15" s="779">
        <v>204.93150175571432</v>
      </c>
      <c r="D15" s="779"/>
      <c r="E15" s="779">
        <v>194.13521422787565</v>
      </c>
      <c r="F15" s="779"/>
      <c r="G15" s="779">
        <v>194.5944637346544</v>
      </c>
      <c r="H15" s="779"/>
      <c r="I15" s="779">
        <v>200.76794190695259</v>
      </c>
      <c r="J15" s="779"/>
      <c r="K15" s="740"/>
      <c r="M15" s="774"/>
      <c r="N15" s="781">
        <v>44044</v>
      </c>
      <c r="O15" s="782">
        <v>194</v>
      </c>
      <c r="P15" s="782">
        <v>195</v>
      </c>
      <c r="Q15" s="974">
        <v>204.93150175571432</v>
      </c>
      <c r="R15" s="1059"/>
      <c r="S15" s="918"/>
      <c r="T15" s="978"/>
      <c r="U15" s="978"/>
      <c r="V15" s="917"/>
      <c r="W15" s="917"/>
      <c r="X15" s="918"/>
      <c r="Y15" s="917"/>
      <c r="Z15" s="917"/>
      <c r="AA15" s="918"/>
      <c r="AB15" s="918"/>
      <c r="AC15" s="918"/>
      <c r="AD15" s="774"/>
    </row>
    <row r="16" spans="2:32" ht="15.75" customHeight="1">
      <c r="B16" s="96" t="s">
        <v>53</v>
      </c>
      <c r="C16" s="779"/>
      <c r="D16" s="779"/>
      <c r="E16" s="779">
        <v>191.50945003025359</v>
      </c>
      <c r="F16" s="779"/>
      <c r="G16" s="779">
        <v>192.18758368538735</v>
      </c>
      <c r="H16" s="779"/>
      <c r="I16" s="779">
        <v>187.52306313288366</v>
      </c>
      <c r="J16" s="779"/>
      <c r="K16" s="740"/>
      <c r="M16" s="1061"/>
      <c r="N16" s="781">
        <v>44075</v>
      </c>
      <c r="O16" s="780">
        <v>192</v>
      </c>
      <c r="P16" s="780">
        <v>192</v>
      </c>
      <c r="Q16" s="974"/>
      <c r="R16" s="1059"/>
      <c r="S16" s="918"/>
      <c r="T16" s="978"/>
      <c r="U16" s="978"/>
      <c r="V16" s="918"/>
      <c r="W16" s="918"/>
      <c r="X16" s="918"/>
      <c r="Y16" s="918"/>
      <c r="Z16" s="918"/>
      <c r="AA16" s="918"/>
      <c r="AB16" s="918"/>
      <c r="AC16" s="918"/>
    </row>
    <row r="17" spans="1:38" ht="15.75" customHeight="1">
      <c r="B17" s="96" t="s">
        <v>54</v>
      </c>
      <c r="C17" s="779"/>
      <c r="D17" s="779"/>
      <c r="E17" s="779">
        <v>185.21413913393246</v>
      </c>
      <c r="F17" s="779"/>
      <c r="G17" s="779">
        <v>186.16920010005393</v>
      </c>
      <c r="H17" s="779"/>
      <c r="I17" s="779">
        <v>190.31829229722922</v>
      </c>
      <c r="J17" s="779"/>
      <c r="K17" s="740"/>
      <c r="M17" s="1061"/>
      <c r="N17" s="781">
        <v>44105</v>
      </c>
      <c r="O17" s="780">
        <v>185</v>
      </c>
      <c r="P17" s="780">
        <v>186</v>
      </c>
      <c r="Q17" s="974"/>
      <c r="R17" s="1059"/>
      <c r="S17" s="918"/>
      <c r="T17" s="978"/>
      <c r="U17" s="978"/>
      <c r="V17" s="918"/>
      <c r="W17" s="918"/>
      <c r="X17" s="918"/>
      <c r="Y17" s="918"/>
      <c r="Z17" s="918"/>
      <c r="AA17" s="918"/>
      <c r="AB17" s="918"/>
      <c r="AC17" s="918"/>
    </row>
    <row r="18" spans="1:38" ht="15.75" customHeight="1">
      <c r="B18" s="96" t="s">
        <v>55</v>
      </c>
      <c r="C18" s="779"/>
      <c r="D18" s="779"/>
      <c r="E18" s="779">
        <v>178.45852154416008</v>
      </c>
      <c r="F18" s="779"/>
      <c r="G18" s="779">
        <v>187.28139470998642</v>
      </c>
      <c r="H18" s="779"/>
      <c r="I18" s="779">
        <v>189.76444944209928</v>
      </c>
      <c r="J18" s="779"/>
      <c r="K18" s="740"/>
      <c r="M18" s="1062"/>
      <c r="N18" s="781">
        <v>44136</v>
      </c>
      <c r="O18" s="780">
        <v>178</v>
      </c>
      <c r="P18" s="780">
        <v>187</v>
      </c>
      <c r="Q18" s="974"/>
      <c r="R18" s="1059"/>
      <c r="S18" s="918"/>
      <c r="T18" s="978"/>
      <c r="U18" s="978"/>
      <c r="V18" s="918"/>
      <c r="W18" s="918"/>
      <c r="X18" s="918"/>
      <c r="Y18" s="918"/>
      <c r="Z18" s="918"/>
      <c r="AA18" s="918"/>
      <c r="AB18" s="918"/>
      <c r="AC18" s="918"/>
    </row>
    <row r="19" spans="1:38" ht="15.75" customHeight="1">
      <c r="B19" s="96" t="s">
        <v>56</v>
      </c>
      <c r="C19" s="779">
        <v>170.59636438599611</v>
      </c>
      <c r="D19" s="779"/>
      <c r="E19" s="779">
        <v>170.43118562562154</v>
      </c>
      <c r="F19" s="779"/>
      <c r="G19" s="779">
        <v>188.65983190545211</v>
      </c>
      <c r="H19" s="779"/>
      <c r="I19" s="779">
        <v>184.92860437039758</v>
      </c>
      <c r="J19" s="779"/>
      <c r="K19" s="740"/>
      <c r="M19" s="1061"/>
      <c r="N19" s="781">
        <v>44166</v>
      </c>
      <c r="O19" s="976"/>
      <c r="P19" s="976"/>
      <c r="Q19" s="974">
        <v>170.59636438599611</v>
      </c>
      <c r="R19" s="1055"/>
      <c r="S19" s="774"/>
      <c r="T19" s="978"/>
      <c r="U19" s="978"/>
      <c r="V19" s="918"/>
      <c r="W19" s="918"/>
      <c r="X19" s="918"/>
      <c r="Y19" s="918"/>
      <c r="Z19" s="918"/>
      <c r="AA19" s="918"/>
      <c r="AB19" s="918"/>
      <c r="AC19" s="918"/>
    </row>
    <row r="20" spans="1:38" ht="32.25" customHeight="1">
      <c r="B20" s="1171" t="s">
        <v>455</v>
      </c>
      <c r="C20" s="1172"/>
      <c r="D20" s="1172"/>
      <c r="E20" s="1172"/>
      <c r="F20" s="1172"/>
      <c r="G20" s="1172"/>
      <c r="H20" s="1172"/>
      <c r="I20" s="1172"/>
      <c r="J20" s="1172"/>
      <c r="K20" s="1173"/>
      <c r="N20" s="781">
        <v>44197</v>
      </c>
      <c r="O20" s="976">
        <f>F8</f>
        <v>173.93033387186944</v>
      </c>
      <c r="P20" s="976">
        <f>H8</f>
        <v>162.40294117833042</v>
      </c>
      <c r="Q20" s="974">
        <f>D8</f>
        <v>175.87005961990735</v>
      </c>
      <c r="R20" s="1055"/>
      <c r="S20" s="774"/>
      <c r="T20" s="978"/>
      <c r="U20" s="978"/>
      <c r="V20" s="918"/>
      <c r="W20" s="918"/>
      <c r="X20" s="918"/>
      <c r="Y20" s="918"/>
      <c r="Z20" s="918"/>
      <c r="AA20" s="929"/>
      <c r="AB20" s="929"/>
    </row>
    <row r="21" spans="1:38" ht="15" customHeight="1">
      <c r="B21" s="56"/>
      <c r="D21" s="588"/>
      <c r="F21" s="588"/>
      <c r="H21" s="588"/>
      <c r="J21" s="588"/>
      <c r="N21" s="781">
        <v>44228</v>
      </c>
      <c r="O21" s="976">
        <f>F9</f>
        <v>186.40526781787636</v>
      </c>
      <c r="P21" s="976">
        <f>H9</f>
        <v>190.02701916172467</v>
      </c>
      <c r="Q21" s="974">
        <f>D9</f>
        <v>189.30695667784781</v>
      </c>
      <c r="R21" s="1055"/>
      <c r="S21" s="774"/>
      <c r="T21" s="978"/>
      <c r="U21" s="978"/>
      <c r="V21" s="918"/>
      <c r="W21" s="918"/>
      <c r="X21" s="918"/>
      <c r="Y21" s="918"/>
      <c r="Z21" s="918"/>
    </row>
    <row r="22" spans="1:38" ht="27" customHeight="1">
      <c r="M22" s="1063"/>
      <c r="Q22" s="974"/>
      <c r="R22" s="1055"/>
      <c r="S22" s="774"/>
      <c r="T22" s="590"/>
      <c r="U22" s="590"/>
      <c r="V22" s="918"/>
      <c r="W22" s="918"/>
      <c r="X22" s="918"/>
      <c r="Y22" s="918"/>
      <c r="Z22" s="918"/>
    </row>
    <row r="23" spans="1:38" ht="15" customHeight="1">
      <c r="Q23" s="975"/>
      <c r="R23" s="1055"/>
      <c r="S23" s="774"/>
      <c r="T23" s="590"/>
      <c r="U23" s="590"/>
      <c r="V23" s="918"/>
      <c r="W23" s="918"/>
      <c r="Y23" s="918"/>
      <c r="Z23" s="918"/>
    </row>
    <row r="24" spans="1:38" ht="15" customHeight="1">
      <c r="A24" s="16"/>
      <c r="B24" s="16"/>
      <c r="C24" s="16"/>
      <c r="D24" s="16"/>
      <c r="E24" s="16"/>
      <c r="Q24" s="782"/>
      <c r="R24" s="1055"/>
      <c r="S24" s="774"/>
      <c r="T24" s="590"/>
      <c r="U24" s="590"/>
      <c r="V24" s="774"/>
    </row>
    <row r="25" spans="1:38" ht="15" customHeight="1">
      <c r="B25" s="16"/>
      <c r="C25" s="16"/>
      <c r="D25" s="16"/>
      <c r="E25" s="16"/>
      <c r="Q25" s="782"/>
      <c r="R25" s="1055"/>
      <c r="S25" s="774"/>
      <c r="T25" s="590"/>
      <c r="U25" s="590"/>
      <c r="V25" s="774"/>
    </row>
    <row r="26" spans="1:38" ht="15" customHeight="1">
      <c r="Q26" s="782"/>
      <c r="R26" s="1055"/>
      <c r="S26" s="774"/>
      <c r="T26" s="590"/>
      <c r="U26" s="590"/>
      <c r="V26" s="774"/>
      <c r="AG26" s="1"/>
      <c r="AH26" s="1"/>
      <c r="AI26" s="1"/>
      <c r="AJ26" s="1"/>
      <c r="AK26" s="1"/>
      <c r="AL26" s="1"/>
    </row>
    <row r="27" spans="1:38" ht="15" customHeight="1">
      <c r="Q27" s="782"/>
      <c r="R27" s="1055"/>
      <c r="S27" s="774"/>
      <c r="T27" s="590"/>
      <c r="U27" s="590"/>
      <c r="V27" s="774"/>
    </row>
    <row r="28" spans="1:38" ht="17.100000000000001" customHeight="1">
      <c r="A28" s="2"/>
      <c r="B28" s="2"/>
    </row>
    <row r="29" spans="1:38" ht="18" customHeight="1">
      <c r="A29" s="53"/>
      <c r="B29" s="53"/>
      <c r="C29" s="53"/>
      <c r="D29" s="53"/>
      <c r="E29" s="53"/>
      <c r="F29" s="53"/>
      <c r="G29" s="53"/>
      <c r="H29" s="53"/>
      <c r="I29" s="53"/>
      <c r="J29" s="53"/>
      <c r="K29" s="53"/>
      <c r="L29" s="53"/>
      <c r="M29" s="889"/>
    </row>
    <row r="30" spans="1:38" ht="15" customHeight="1">
      <c r="A30" s="2"/>
      <c r="B30" s="2"/>
      <c r="AG30" s="6"/>
      <c r="AH30" s="7"/>
      <c r="AI30" s="7"/>
      <c r="AJ30" s="7"/>
    </row>
    <row r="31" spans="1:38" ht="15" customHeight="1">
      <c r="A31" s="2"/>
      <c r="B31" s="2"/>
      <c r="I31" s="20"/>
      <c r="J31" s="20"/>
      <c r="Q31" s="976"/>
      <c r="AG31" s="6"/>
      <c r="AH31" s="7"/>
      <c r="AI31" s="7"/>
      <c r="AJ31" s="7"/>
    </row>
    <row r="32" spans="1:38" ht="15" customHeight="1">
      <c r="AG32" s="6"/>
      <c r="AH32" s="7"/>
      <c r="AI32" s="7"/>
      <c r="AJ32" s="7"/>
    </row>
    <row r="33" spans="1:38" ht="15" customHeight="1">
      <c r="AG33" s="6"/>
      <c r="AH33" s="7"/>
      <c r="AI33" s="7"/>
      <c r="AJ33" s="7"/>
    </row>
    <row r="34" spans="1:38" ht="57.75" customHeight="1">
      <c r="B34" s="1169" t="s">
        <v>692</v>
      </c>
      <c r="C34" s="1169"/>
      <c r="D34" s="1169"/>
      <c r="E34" s="1169"/>
      <c r="F34" s="1169"/>
      <c r="G34" s="1169"/>
      <c r="H34" s="1169"/>
      <c r="I34" s="1169"/>
      <c r="J34" s="1169"/>
      <c r="K34" s="1169"/>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ignoredErrors>
    <ignoredError sqref="O20:Q20" evalError="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pageSetUpPr fitToPage="1"/>
  </sheetPr>
  <dimension ref="B1:J21"/>
  <sheetViews>
    <sheetView topLeftCell="B4" zoomScaleNormal="100" workbookViewId="0">
      <selection activeCell="L12" sqref="L12"/>
    </sheetView>
  </sheetViews>
  <sheetFormatPr baseColWidth="10" defaultColWidth="10.90625" defaultRowHeight="12.75"/>
  <cols>
    <col min="1" max="1" width="2.453125" style="493" customWidth="1"/>
    <col min="2" max="2" width="8" style="493" customWidth="1"/>
    <col min="3" max="10" width="6.36328125" style="493" customWidth="1"/>
    <col min="11" max="11" width="3.08984375" style="493" customWidth="1"/>
    <col min="12" max="16384" width="10.90625" style="493"/>
  </cols>
  <sheetData>
    <row r="1" spans="2:10">
      <c r="B1" s="1185" t="s">
        <v>79</v>
      </c>
      <c r="C1" s="1185"/>
      <c r="D1" s="1185"/>
      <c r="E1" s="1185"/>
      <c r="F1" s="1185"/>
      <c r="G1" s="1185"/>
      <c r="H1" s="1185"/>
      <c r="I1" s="1185"/>
      <c r="J1" s="1185"/>
    </row>
    <row r="2" spans="2:10">
      <c r="B2" s="517"/>
      <c r="C2" s="517"/>
      <c r="D2" s="517"/>
      <c r="E2" s="517"/>
      <c r="F2" s="517"/>
      <c r="G2" s="517"/>
      <c r="H2" s="517"/>
      <c r="I2" s="517"/>
    </row>
    <row r="3" spans="2:10" ht="21" customHeight="1">
      <c r="B3" s="1187" t="s">
        <v>382</v>
      </c>
      <c r="C3" s="1187"/>
      <c r="D3" s="1187"/>
      <c r="E3" s="1187"/>
      <c r="F3" s="1187"/>
      <c r="G3" s="1187"/>
      <c r="H3" s="1187"/>
      <c r="I3" s="1187"/>
      <c r="J3" s="1187"/>
    </row>
    <row r="4" spans="2:10" ht="15.75" customHeight="1">
      <c r="B4" s="1160" t="s">
        <v>678</v>
      </c>
      <c r="C4" s="1186"/>
      <c r="D4" s="1186"/>
      <c r="E4" s="1186"/>
      <c r="F4" s="1186"/>
      <c r="G4" s="1186"/>
      <c r="H4" s="1186"/>
      <c r="I4" s="1186"/>
      <c r="J4" s="1186"/>
    </row>
    <row r="5" spans="2:10" ht="15.75" customHeight="1">
      <c r="B5" s="1186" t="s">
        <v>386</v>
      </c>
      <c r="C5" s="1186"/>
      <c r="D5" s="1186"/>
      <c r="E5" s="1186"/>
      <c r="F5" s="1186"/>
      <c r="G5" s="1186"/>
      <c r="H5" s="1186"/>
      <c r="I5" s="1186"/>
      <c r="J5" s="1186"/>
    </row>
    <row r="6" spans="2:10" ht="103.5" customHeight="1">
      <c r="B6" s="717" t="s">
        <v>367</v>
      </c>
      <c r="C6" s="1189" t="s">
        <v>369</v>
      </c>
      <c r="D6" s="1189"/>
      <c r="E6" s="1189" t="s">
        <v>370</v>
      </c>
      <c r="F6" s="1189"/>
      <c r="G6" s="1189" t="s">
        <v>445</v>
      </c>
      <c r="H6" s="1189"/>
      <c r="I6" s="1189" t="s">
        <v>371</v>
      </c>
      <c r="J6" s="1189"/>
    </row>
    <row r="7" spans="2:10" ht="15.75" customHeight="1">
      <c r="B7" s="718" t="s">
        <v>368</v>
      </c>
      <c r="C7" s="1188" t="s">
        <v>94</v>
      </c>
      <c r="D7" s="1188"/>
      <c r="E7" s="1188" t="s">
        <v>93</v>
      </c>
      <c r="F7" s="1188"/>
      <c r="G7" s="1188" t="s">
        <v>92</v>
      </c>
      <c r="H7" s="1188"/>
      <c r="I7" s="1188"/>
      <c r="J7" s="1188"/>
    </row>
    <row r="8" spans="2:10" ht="15.75" customHeight="1">
      <c r="B8" s="719" t="s">
        <v>96</v>
      </c>
      <c r="C8" s="604">
        <v>2020</v>
      </c>
      <c r="D8" s="604">
        <v>2021</v>
      </c>
      <c r="E8" s="604">
        <v>2020</v>
      </c>
      <c r="F8" s="604">
        <v>2021</v>
      </c>
      <c r="G8" s="604">
        <v>2020</v>
      </c>
      <c r="H8" s="604">
        <v>2021</v>
      </c>
      <c r="I8" s="604">
        <v>2020</v>
      </c>
      <c r="J8" s="604">
        <v>2021</v>
      </c>
    </row>
    <row r="9" spans="2:10" ht="15.75" customHeight="1">
      <c r="B9" s="719" t="s">
        <v>47</v>
      </c>
      <c r="C9" s="612">
        <v>235.81303170782229</v>
      </c>
      <c r="D9" s="612">
        <v>245.2445278345246</v>
      </c>
      <c r="E9" s="612">
        <v>213.16856451613634</v>
      </c>
      <c r="F9" s="777">
        <v>248.01186543838159</v>
      </c>
      <c r="G9" s="612">
        <v>215.70144660910196</v>
      </c>
      <c r="H9" s="777"/>
      <c r="I9" s="612">
        <v>234.60750000000002</v>
      </c>
      <c r="J9" s="612">
        <v>255.63636363636363</v>
      </c>
    </row>
    <row r="10" spans="2:10" ht="15.75" customHeight="1">
      <c r="B10" s="719" t="s">
        <v>48</v>
      </c>
      <c r="C10" s="612">
        <v>237.82139454134366</v>
      </c>
      <c r="D10" s="612">
        <v>252.68105533894033</v>
      </c>
      <c r="E10" s="612">
        <v>210.68976515054834</v>
      </c>
      <c r="F10" s="777">
        <v>265.94090111958866</v>
      </c>
      <c r="G10" s="612">
        <v>222.33483283380707</v>
      </c>
      <c r="H10" s="777">
        <v>264.48345397977863</v>
      </c>
      <c r="I10" s="613"/>
      <c r="J10" s="612">
        <v>264.16000000000003</v>
      </c>
    </row>
    <row r="11" spans="2:10" ht="15.75" customHeight="1">
      <c r="B11" s="719" t="s">
        <v>49</v>
      </c>
      <c r="C11" s="612">
        <v>237.70798612693767</v>
      </c>
      <c r="D11" s="612"/>
      <c r="E11" s="612">
        <v>213.7368921600181</v>
      </c>
      <c r="F11" s="777"/>
      <c r="G11" s="612">
        <v>217.76909535218874</v>
      </c>
      <c r="H11" s="777"/>
      <c r="I11" s="613"/>
      <c r="J11" s="613"/>
    </row>
    <row r="12" spans="2:10" ht="15.75" customHeight="1">
      <c r="B12" s="719" t="s">
        <v>57</v>
      </c>
      <c r="C12" s="649">
        <v>246.91698921880814</v>
      </c>
      <c r="D12" s="612"/>
      <c r="E12" s="612">
        <v>223.4333856647774</v>
      </c>
      <c r="F12" s="612"/>
      <c r="G12" s="612">
        <v>226.82697890706234</v>
      </c>
      <c r="H12" s="612"/>
      <c r="I12" s="612"/>
      <c r="J12" s="649"/>
    </row>
    <row r="13" spans="2:10" ht="15.75" customHeight="1">
      <c r="B13" s="719" t="s">
        <v>58</v>
      </c>
      <c r="C13" s="612">
        <v>264.5687418821845</v>
      </c>
      <c r="D13" s="612"/>
      <c r="E13" s="612">
        <v>228.49455258008055</v>
      </c>
      <c r="F13" s="612"/>
      <c r="G13" s="612">
        <v>251.00000000000003</v>
      </c>
      <c r="H13" s="612"/>
      <c r="I13" s="612">
        <v>261.17237430472244</v>
      </c>
      <c r="J13" s="612"/>
    </row>
    <row r="14" spans="2:10" ht="15.75" customHeight="1">
      <c r="B14" s="719" t="s">
        <v>50</v>
      </c>
      <c r="C14" s="612"/>
      <c r="D14" s="612"/>
      <c r="E14" s="612">
        <v>225.41825301158173</v>
      </c>
      <c r="F14" s="612"/>
      <c r="G14" s="612"/>
      <c r="H14" s="612"/>
      <c r="I14" s="612">
        <v>261.17236405596424</v>
      </c>
      <c r="J14" s="612"/>
    </row>
    <row r="15" spans="2:10" ht="15.75" customHeight="1">
      <c r="B15" s="719" t="s">
        <v>51</v>
      </c>
      <c r="C15" s="612">
        <v>274.58893528753515</v>
      </c>
      <c r="D15" s="612"/>
      <c r="E15" s="612"/>
      <c r="F15" s="612"/>
      <c r="G15" s="612"/>
      <c r="H15" s="612"/>
      <c r="I15" s="612">
        <v>261.17238817848994</v>
      </c>
      <c r="J15" s="612"/>
    </row>
    <row r="16" spans="2:10" ht="15.75" customHeight="1">
      <c r="B16" s="719" t="s">
        <v>52</v>
      </c>
      <c r="C16" s="612"/>
      <c r="D16" s="612"/>
      <c r="E16" s="612"/>
      <c r="F16" s="777"/>
      <c r="G16" s="612"/>
      <c r="H16" s="777"/>
      <c r="I16" s="612">
        <v>261.17235714285715</v>
      </c>
      <c r="J16" s="612"/>
    </row>
    <row r="17" spans="2:10" ht="15.75" customHeight="1">
      <c r="B17" s="719" t="s">
        <v>53</v>
      </c>
      <c r="C17" s="612"/>
      <c r="D17" s="612"/>
      <c r="E17" s="612"/>
      <c r="F17" s="777"/>
      <c r="G17" s="612"/>
      <c r="H17" s="777"/>
      <c r="I17" s="612"/>
      <c r="J17" s="612"/>
    </row>
    <row r="18" spans="2:10" ht="15.75" customHeight="1">
      <c r="B18" s="719" t="s">
        <v>54</v>
      </c>
      <c r="C18" s="612"/>
      <c r="D18" s="612"/>
      <c r="E18" s="612"/>
      <c r="F18" s="777"/>
      <c r="G18" s="612"/>
      <c r="H18" s="777"/>
      <c r="I18" s="612"/>
      <c r="J18" s="612"/>
    </row>
    <row r="19" spans="2:10" ht="15.75" customHeight="1">
      <c r="B19" s="719" t="s">
        <v>55</v>
      </c>
      <c r="C19" s="612"/>
      <c r="D19" s="612"/>
      <c r="E19" s="612"/>
      <c r="F19" s="777"/>
      <c r="G19" s="612"/>
      <c r="H19" s="777"/>
      <c r="I19" s="612"/>
      <c r="J19" s="612"/>
    </row>
    <row r="20" spans="2:10" ht="15.75" customHeight="1">
      <c r="B20" s="719" t="s">
        <v>56</v>
      </c>
      <c r="C20" s="612">
        <v>231.8743074729756</v>
      </c>
      <c r="D20" s="612"/>
      <c r="E20" s="612"/>
      <c r="F20" s="777"/>
      <c r="G20" s="612"/>
      <c r="H20" s="777"/>
      <c r="I20" s="612">
        <v>254</v>
      </c>
      <c r="J20" s="612"/>
    </row>
    <row r="21" spans="2:10" ht="61.5" customHeight="1">
      <c r="B21" s="1138" t="s">
        <v>695</v>
      </c>
      <c r="C21" s="1138"/>
      <c r="D21" s="1138"/>
      <c r="E21" s="1138"/>
      <c r="F21" s="1138"/>
      <c r="G21" s="1138"/>
      <c r="H21" s="1138"/>
      <c r="I21" s="1138"/>
      <c r="J21" s="1138"/>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pageSetUpPr fitToPage="1"/>
  </sheetPr>
  <dimension ref="A1:W93"/>
  <sheetViews>
    <sheetView zoomScaleNormal="100" zoomScaleSheetLayoutView="75" workbookViewId="0">
      <selection activeCell="M23" sqref="M23"/>
    </sheetView>
  </sheetViews>
  <sheetFormatPr baseColWidth="10" defaultColWidth="7.26953125" defaultRowHeight="12"/>
  <cols>
    <col min="1" max="1" width="1.26953125" style="1" customWidth="1"/>
    <col min="2" max="2" width="6.90625" style="1" customWidth="1"/>
    <col min="3" max="11" width="5.453125" style="1" customWidth="1"/>
    <col min="12" max="12" width="8.453125" style="1" customWidth="1"/>
    <col min="13" max="13" width="7.26953125" style="758"/>
    <col min="14" max="15" width="7.26953125" style="758" customWidth="1"/>
    <col min="16" max="16" width="7.26953125" style="758"/>
    <col min="17" max="18" width="7.453125" style="1" bestFit="1" customWidth="1"/>
    <col min="19" max="16384" width="7.26953125" style="1"/>
  </cols>
  <sheetData>
    <row r="1" spans="2:23" s="23" customFormat="1" ht="12.75">
      <c r="B1" s="1104" t="s">
        <v>80</v>
      </c>
      <c r="C1" s="1104"/>
      <c r="D1" s="1104"/>
      <c r="E1" s="1104"/>
      <c r="F1" s="1104"/>
      <c r="G1" s="1104"/>
      <c r="H1" s="1104"/>
      <c r="I1" s="1104"/>
      <c r="J1" s="1104"/>
      <c r="K1" s="1104"/>
      <c r="M1" s="603"/>
      <c r="N1" s="603"/>
      <c r="O1" s="603"/>
      <c r="P1" s="603"/>
    </row>
    <row r="2" spans="2:23" s="23" customFormat="1" ht="12.75">
      <c r="B2" s="31"/>
      <c r="C2" s="32"/>
      <c r="D2" s="32"/>
      <c r="E2" s="32"/>
      <c r="F2" s="32"/>
      <c r="M2" s="603"/>
      <c r="N2" s="603"/>
      <c r="O2" s="603"/>
      <c r="P2" s="603"/>
    </row>
    <row r="3" spans="2:23" s="23" customFormat="1" ht="12.75">
      <c r="B3" s="1104" t="s">
        <v>83</v>
      </c>
      <c r="C3" s="1104"/>
      <c r="D3" s="1104"/>
      <c r="E3" s="1104"/>
      <c r="F3" s="1104"/>
      <c r="G3" s="1104"/>
      <c r="H3" s="1104"/>
      <c r="I3" s="1104"/>
      <c r="J3" s="1104"/>
      <c r="K3" s="1104"/>
      <c r="M3" s="603"/>
      <c r="N3" s="603"/>
      <c r="O3" s="603"/>
      <c r="P3" s="603"/>
    </row>
    <row r="4" spans="2:23" s="23" customFormat="1" ht="12.75">
      <c r="B4" s="1104" t="s">
        <v>678</v>
      </c>
      <c r="C4" s="1104"/>
      <c r="D4" s="1104"/>
      <c r="E4" s="1104"/>
      <c r="F4" s="1104"/>
      <c r="G4" s="1104"/>
      <c r="H4" s="1104"/>
      <c r="I4" s="1104"/>
      <c r="J4" s="1104"/>
      <c r="K4" s="1104"/>
      <c r="M4" s="603"/>
      <c r="N4" s="603"/>
      <c r="O4" s="603"/>
      <c r="P4" s="603"/>
    </row>
    <row r="5" spans="2:23" s="23" customFormat="1" ht="18" customHeight="1">
      <c r="B5" s="1104" t="s">
        <v>425</v>
      </c>
      <c r="C5" s="1104"/>
      <c r="D5" s="1104"/>
      <c r="E5" s="1104"/>
      <c r="F5" s="1104"/>
      <c r="G5" s="1104"/>
      <c r="H5" s="1104"/>
      <c r="I5" s="1104"/>
      <c r="J5" s="1104"/>
      <c r="K5" s="1104"/>
      <c r="M5" s="603"/>
      <c r="N5" s="603"/>
      <c r="O5" s="603"/>
      <c r="P5" s="603"/>
    </row>
    <row r="6" spans="2:23" s="35" customFormat="1" ht="24.75" customHeight="1">
      <c r="B6" s="1111" t="s">
        <v>96</v>
      </c>
      <c r="C6" s="1177" t="s">
        <v>92</v>
      </c>
      <c r="D6" s="1177"/>
      <c r="E6" s="1177" t="s">
        <v>93</v>
      </c>
      <c r="F6" s="1177"/>
      <c r="G6" s="1177" t="s">
        <v>94</v>
      </c>
      <c r="H6" s="1177"/>
      <c r="I6" s="1111" t="s">
        <v>64</v>
      </c>
      <c r="J6" s="1111"/>
      <c r="K6" s="1111"/>
      <c r="M6" s="590"/>
      <c r="N6" s="590"/>
      <c r="O6" s="590"/>
      <c r="P6" s="590"/>
    </row>
    <row r="7" spans="2:23" s="35" customFormat="1" ht="48" customHeight="1">
      <c r="B7" s="1111"/>
      <c r="C7" s="604">
        <v>2020</v>
      </c>
      <c r="D7" s="604">
        <v>2021</v>
      </c>
      <c r="E7" s="604">
        <v>2020</v>
      </c>
      <c r="F7" s="604">
        <v>2021</v>
      </c>
      <c r="G7" s="604">
        <v>2020</v>
      </c>
      <c r="H7" s="604">
        <v>2021</v>
      </c>
      <c r="I7" s="604">
        <v>2020</v>
      </c>
      <c r="J7" s="604">
        <v>2021</v>
      </c>
      <c r="K7" s="875" t="s">
        <v>679</v>
      </c>
      <c r="M7" s="590"/>
      <c r="N7" s="590" t="s">
        <v>539</v>
      </c>
      <c r="O7" s="590" t="s">
        <v>93</v>
      </c>
      <c r="P7" s="590" t="s">
        <v>94</v>
      </c>
    </row>
    <row r="8" spans="2:23" s="35" customFormat="1" ht="15.75" customHeight="1">
      <c r="B8" s="96" t="s">
        <v>47</v>
      </c>
      <c r="C8" s="777">
        <v>167.84891608145881</v>
      </c>
      <c r="D8" s="777">
        <v>190.97270416174587</v>
      </c>
      <c r="E8" s="777">
        <v>173.5213821241872</v>
      </c>
      <c r="F8" s="777">
        <v>195.2924834177893</v>
      </c>
      <c r="G8" s="777">
        <v>177.34495979445921</v>
      </c>
      <c r="H8" s="777">
        <v>199.25540605546121</v>
      </c>
      <c r="I8" s="777">
        <v>172.42138334340049</v>
      </c>
      <c r="J8" s="777">
        <v>194.38815449988968</v>
      </c>
      <c r="K8" s="787">
        <f t="shared" ref="K8:K9" si="0">J8/I8-1</f>
        <v>0.12740166405427455</v>
      </c>
      <c r="M8" s="781">
        <v>43831</v>
      </c>
      <c r="N8" s="799">
        <f>C8</f>
        <v>167.84891608145881</v>
      </c>
      <c r="O8" s="799">
        <f>E8</f>
        <v>173.5213821241872</v>
      </c>
      <c r="P8" s="799">
        <f>G8</f>
        <v>177.34495979445921</v>
      </c>
      <c r="Q8" s="487"/>
      <c r="R8" s="487"/>
      <c r="S8" s="487"/>
      <c r="T8" s="487"/>
    </row>
    <row r="9" spans="2:23" s="35" customFormat="1" ht="15.75" customHeight="1">
      <c r="B9" s="96" t="s">
        <v>48</v>
      </c>
      <c r="C9" s="777">
        <v>173.21892904509284</v>
      </c>
      <c r="D9" s="777">
        <v>194.04661943319834</v>
      </c>
      <c r="E9" s="777">
        <v>179.82508836490845</v>
      </c>
      <c r="F9" s="777">
        <v>197.594057537743</v>
      </c>
      <c r="G9" s="777">
        <v>182.2215413164561</v>
      </c>
      <c r="H9" s="777">
        <v>201.98578373015877</v>
      </c>
      <c r="I9" s="777">
        <v>178.03187610025464</v>
      </c>
      <c r="J9" s="777">
        <v>196.69490219373131</v>
      </c>
      <c r="K9" s="787">
        <f t="shared" si="0"/>
        <v>0.10482968838101225</v>
      </c>
      <c r="M9" s="781">
        <v>43862</v>
      </c>
      <c r="N9" s="799">
        <f t="shared" ref="N9:N19" si="1">C9</f>
        <v>173.21892904509284</v>
      </c>
      <c r="O9" s="799">
        <f t="shared" ref="O9:O19" si="2">E9</f>
        <v>179.82508836490845</v>
      </c>
      <c r="P9" s="799">
        <f t="shared" ref="P9:P19" si="3">G9</f>
        <v>182.2215413164561</v>
      </c>
      <c r="R9" s="487"/>
      <c r="S9" s="487"/>
      <c r="T9" s="487"/>
    </row>
    <row r="10" spans="2:23" s="35" customFormat="1" ht="15.75" customHeight="1">
      <c r="B10" s="96" t="s">
        <v>49</v>
      </c>
      <c r="C10" s="777">
        <v>177.25376344086021</v>
      </c>
      <c r="D10" s="777"/>
      <c r="E10" s="777">
        <v>191.72243401759533</v>
      </c>
      <c r="F10" s="777"/>
      <c r="G10" s="777">
        <v>187.74655870445341</v>
      </c>
      <c r="H10" s="777"/>
      <c r="I10" s="777">
        <v>187.19161509392632</v>
      </c>
      <c r="J10" s="777"/>
      <c r="K10" s="787"/>
      <c r="M10" s="781">
        <v>43891</v>
      </c>
      <c r="N10" s="799">
        <f t="shared" si="1"/>
        <v>177.25376344086021</v>
      </c>
      <c r="O10" s="799">
        <f t="shared" si="2"/>
        <v>191.72243401759533</v>
      </c>
      <c r="P10" s="799">
        <f t="shared" si="3"/>
        <v>187.74655870445341</v>
      </c>
      <c r="R10" s="487"/>
      <c r="S10" s="487"/>
      <c r="T10" s="487"/>
    </row>
    <row r="11" spans="2:23" s="35" customFormat="1" ht="15.75" customHeight="1">
      <c r="B11" s="96" t="s">
        <v>57</v>
      </c>
      <c r="C11" s="815">
        <v>189.05</v>
      </c>
      <c r="D11" s="815"/>
      <c r="E11" s="815">
        <v>201.28435185185182</v>
      </c>
      <c r="F11" s="815"/>
      <c r="G11" s="815">
        <v>202.02111111111108</v>
      </c>
      <c r="H11" s="815"/>
      <c r="I11" s="815">
        <v>198.98918128654969</v>
      </c>
      <c r="J11" s="815"/>
      <c r="K11" s="787"/>
      <c r="M11" s="781">
        <v>43922</v>
      </c>
      <c r="N11" s="799">
        <f t="shared" si="1"/>
        <v>189.05</v>
      </c>
      <c r="O11" s="799">
        <f t="shared" si="2"/>
        <v>201.28435185185182</v>
      </c>
      <c r="P11" s="799">
        <f t="shared" si="3"/>
        <v>202.02111111111108</v>
      </c>
    </row>
    <row r="12" spans="2:23" s="35" customFormat="1" ht="15.75" customHeight="1">
      <c r="B12" s="96" t="s">
        <v>58</v>
      </c>
      <c r="C12" s="815">
        <v>197.32885304659499</v>
      </c>
      <c r="D12" s="815"/>
      <c r="E12" s="815">
        <v>202.50035842293906</v>
      </c>
      <c r="F12" s="815"/>
      <c r="G12" s="815">
        <v>199.39354838709679</v>
      </c>
      <c r="H12" s="815"/>
      <c r="I12" s="815">
        <v>200.21791587602783</v>
      </c>
      <c r="J12" s="815"/>
      <c r="K12" s="787"/>
      <c r="M12" s="781">
        <v>43952</v>
      </c>
      <c r="N12" s="799">
        <f t="shared" si="1"/>
        <v>197.32885304659499</v>
      </c>
      <c r="O12" s="799">
        <f t="shared" si="2"/>
        <v>202.50035842293906</v>
      </c>
      <c r="P12" s="799">
        <f t="shared" si="3"/>
        <v>199.39354838709679</v>
      </c>
      <c r="U12" s="487"/>
    </row>
    <row r="13" spans="2:23" s="35" customFormat="1" ht="15.75" customHeight="1">
      <c r="B13" s="96" t="s">
        <v>50</v>
      </c>
      <c r="C13" s="815">
        <v>194.96666666666673</v>
      </c>
      <c r="D13" s="815"/>
      <c r="E13" s="815">
        <v>198.63240740740741</v>
      </c>
      <c r="F13" s="815"/>
      <c r="G13" s="815">
        <v>192.68333333333331</v>
      </c>
      <c r="H13" s="815"/>
      <c r="I13" s="815">
        <v>196.49949579831929</v>
      </c>
      <c r="J13" s="815"/>
      <c r="K13" s="846"/>
      <c r="M13" s="847">
        <v>43983</v>
      </c>
      <c r="N13" s="799">
        <f t="shared" si="1"/>
        <v>194.96666666666673</v>
      </c>
      <c r="O13" s="799">
        <f t="shared" si="2"/>
        <v>198.63240740740741</v>
      </c>
      <c r="P13" s="799">
        <f t="shared" si="3"/>
        <v>192.68333333333331</v>
      </c>
    </row>
    <row r="14" spans="2:23" s="35" customFormat="1" ht="15.75" customHeight="1">
      <c r="B14" s="96" t="s">
        <v>51</v>
      </c>
      <c r="C14" s="815">
        <v>186.45161290322579</v>
      </c>
      <c r="D14" s="815"/>
      <c r="E14" s="815">
        <v>197.90322580645162</v>
      </c>
      <c r="F14" s="815"/>
      <c r="G14" s="815">
        <v>190</v>
      </c>
      <c r="H14" s="815"/>
      <c r="I14" s="815">
        <v>195.02176139272913</v>
      </c>
      <c r="J14" s="815"/>
      <c r="K14" s="846"/>
      <c r="M14" s="847">
        <v>44013</v>
      </c>
      <c r="N14" s="799">
        <f t="shared" si="1"/>
        <v>186.45161290322579</v>
      </c>
      <c r="O14" s="799">
        <f t="shared" si="2"/>
        <v>197.90322580645162</v>
      </c>
      <c r="P14" s="799">
        <f t="shared" si="3"/>
        <v>190</v>
      </c>
      <c r="Q14" s="930"/>
      <c r="R14" s="487"/>
      <c r="S14" s="487"/>
      <c r="T14" s="487"/>
    </row>
    <row r="15" spans="2:23" s="35" customFormat="1" ht="15.75" customHeight="1">
      <c r="B15" s="96" t="s">
        <v>52</v>
      </c>
      <c r="C15" s="777">
        <v>193.46774193548387</v>
      </c>
      <c r="D15" s="777"/>
      <c r="E15" s="777">
        <v>198.85080645161293</v>
      </c>
      <c r="F15" s="777"/>
      <c r="G15" s="777">
        <v>202.17741935483872</v>
      </c>
      <c r="H15" s="777"/>
      <c r="I15" s="777">
        <v>200.37762416794675</v>
      </c>
      <c r="J15" s="777"/>
      <c r="K15" s="846"/>
      <c r="M15" s="847">
        <v>44044</v>
      </c>
      <c r="N15" s="799">
        <f t="shared" si="1"/>
        <v>193.46774193548387</v>
      </c>
      <c r="O15" s="799">
        <f t="shared" si="2"/>
        <v>198.85080645161293</v>
      </c>
      <c r="P15" s="799">
        <f t="shared" si="3"/>
        <v>202.17741935483872</v>
      </c>
      <c r="S15" s="487"/>
      <c r="T15" s="487"/>
    </row>
    <row r="16" spans="2:23" s="35" customFormat="1" ht="15.75" customHeight="1">
      <c r="B16" s="96" t="s">
        <v>53</v>
      </c>
      <c r="C16" s="777">
        <v>201.16666666666669</v>
      </c>
      <c r="D16" s="777"/>
      <c r="E16" s="777">
        <v>199.99107142857144</v>
      </c>
      <c r="F16" s="777"/>
      <c r="G16" s="777">
        <v>202.88888888888891</v>
      </c>
      <c r="H16" s="777"/>
      <c r="I16" s="777">
        <v>202.66071428571428</v>
      </c>
      <c r="J16" s="777"/>
      <c r="K16" s="846"/>
      <c r="M16" s="847">
        <v>44075</v>
      </c>
      <c r="N16" s="799">
        <f t="shared" si="1"/>
        <v>201.16666666666669</v>
      </c>
      <c r="O16" s="799">
        <f t="shared" si="2"/>
        <v>199.99107142857144</v>
      </c>
      <c r="P16" s="799">
        <f t="shared" si="3"/>
        <v>202.88888888888891</v>
      </c>
      <c r="S16" s="487"/>
      <c r="T16" s="487"/>
      <c r="U16" s="876"/>
      <c r="V16" s="876"/>
      <c r="W16" s="876"/>
    </row>
    <row r="17" spans="1:23" s="35" customFormat="1" ht="15.75" customHeight="1">
      <c r="B17" s="96" t="s">
        <v>54</v>
      </c>
      <c r="C17" s="777">
        <v>191.77419354838707</v>
      </c>
      <c r="D17" s="777"/>
      <c r="E17" s="777">
        <v>194.58525345622118</v>
      </c>
      <c r="F17" s="777"/>
      <c r="G17" s="777">
        <v>199.78494623655916</v>
      </c>
      <c r="H17" s="777"/>
      <c r="I17" s="777">
        <v>196.9220430107527</v>
      </c>
      <c r="J17" s="777"/>
      <c r="K17" s="846"/>
      <c r="M17" s="847">
        <v>44105</v>
      </c>
      <c r="N17" s="799">
        <f t="shared" si="1"/>
        <v>191.77419354838707</v>
      </c>
      <c r="O17" s="799">
        <f t="shared" si="2"/>
        <v>194.58525345622118</v>
      </c>
      <c r="P17" s="799">
        <f t="shared" si="3"/>
        <v>199.78494623655916</v>
      </c>
      <c r="R17" s="487"/>
      <c r="S17" s="487"/>
      <c r="T17" s="487"/>
      <c r="U17" s="876"/>
      <c r="V17" s="876"/>
      <c r="W17" s="876"/>
    </row>
    <row r="18" spans="1:23" s="35" customFormat="1" ht="15.75" customHeight="1">
      <c r="B18" s="96" t="s">
        <v>55</v>
      </c>
      <c r="C18" s="777">
        <v>214.70833333333331</v>
      </c>
      <c r="D18" s="777"/>
      <c r="E18" s="777">
        <v>202.5</v>
      </c>
      <c r="F18" s="777"/>
      <c r="G18" s="777">
        <v>208.75</v>
      </c>
      <c r="H18" s="777"/>
      <c r="I18" s="777">
        <v>215.23883928571428</v>
      </c>
      <c r="J18" s="777"/>
      <c r="K18" s="846"/>
      <c r="M18" s="847">
        <v>44136</v>
      </c>
      <c r="N18" s="799">
        <f t="shared" si="1"/>
        <v>214.70833333333331</v>
      </c>
      <c r="O18" s="799">
        <f t="shared" si="2"/>
        <v>202.5</v>
      </c>
      <c r="P18" s="799">
        <f t="shared" si="3"/>
        <v>208.75</v>
      </c>
      <c r="R18" s="487"/>
      <c r="S18" s="487"/>
      <c r="T18" s="487"/>
      <c r="U18" s="876"/>
      <c r="V18" s="876"/>
      <c r="W18" s="876"/>
    </row>
    <row r="19" spans="1:23" s="35" customFormat="1" ht="15.75" customHeight="1">
      <c r="B19" s="96" t="s">
        <v>56</v>
      </c>
      <c r="C19" s="777">
        <v>204.22916666666669</v>
      </c>
      <c r="D19" s="777"/>
      <c r="E19" s="777">
        <v>207.93729321753514</v>
      </c>
      <c r="F19" s="777"/>
      <c r="G19" s="777">
        <v>212.88076542161855</v>
      </c>
      <c r="H19" s="777"/>
      <c r="I19" s="777">
        <v>207.79165730021356</v>
      </c>
      <c r="J19" s="777"/>
      <c r="K19" s="846"/>
      <c r="M19" s="847">
        <v>44166</v>
      </c>
      <c r="N19" s="799">
        <f t="shared" si="1"/>
        <v>204.22916666666669</v>
      </c>
      <c r="O19" s="799">
        <f t="shared" si="2"/>
        <v>207.93729321753514</v>
      </c>
      <c r="P19" s="799">
        <f t="shared" si="3"/>
        <v>212.88076542161855</v>
      </c>
      <c r="Q19" s="931"/>
      <c r="R19" s="487"/>
      <c r="S19" s="487"/>
      <c r="T19" s="487"/>
    </row>
    <row r="20" spans="1:23" s="35" customFormat="1" ht="21.75" customHeight="1">
      <c r="B20" s="1191" t="s">
        <v>170</v>
      </c>
      <c r="C20" s="1191"/>
      <c r="D20" s="1191"/>
      <c r="E20" s="1191"/>
      <c r="F20" s="1191"/>
      <c r="G20" s="1191"/>
      <c r="H20" s="1191"/>
      <c r="I20" s="1191"/>
      <c r="J20" s="1191"/>
      <c r="K20" s="1191"/>
      <c r="M20" s="781">
        <v>44197</v>
      </c>
      <c r="N20" s="799">
        <f>D8</f>
        <v>190.97270416174587</v>
      </c>
      <c r="O20" s="799">
        <f>F8</f>
        <v>195.2924834177893</v>
      </c>
      <c r="P20" s="799">
        <f>H8</f>
        <v>199.25540605546121</v>
      </c>
      <c r="R20" s="487"/>
      <c r="S20" s="487"/>
      <c r="T20" s="487"/>
    </row>
    <row r="21" spans="1:23" s="35" customFormat="1" ht="12.75">
      <c r="B21" s="2"/>
      <c r="C21" s="877"/>
      <c r="D21" s="877"/>
      <c r="E21" s="46"/>
      <c r="F21" s="46"/>
      <c r="G21" s="487"/>
      <c r="H21" s="487"/>
      <c r="I21" s="67"/>
      <c r="J21" s="67"/>
      <c r="K21" s="101"/>
      <c r="M21" s="781">
        <v>44228</v>
      </c>
      <c r="N21" s="799">
        <f t="shared" ref="N21:N30" si="4">D9</f>
        <v>194.04661943319834</v>
      </c>
      <c r="O21" s="799">
        <f t="shared" ref="O21:O30" si="5">F9</f>
        <v>197.594057537743</v>
      </c>
      <c r="P21" s="799">
        <f t="shared" ref="P21:P31" si="6">H9</f>
        <v>201.98578373015877</v>
      </c>
    </row>
    <row r="22" spans="1:23" ht="18">
      <c r="C22" s="588"/>
      <c r="D22" s="878"/>
      <c r="E22" s="588"/>
      <c r="F22" s="878"/>
      <c r="G22" s="588"/>
      <c r="H22" s="878"/>
      <c r="I22" s="588"/>
      <c r="J22" s="588"/>
      <c r="M22" s="781">
        <v>44256</v>
      </c>
      <c r="N22" s="799">
        <f t="shared" si="4"/>
        <v>0</v>
      </c>
      <c r="O22" s="799">
        <f t="shared" si="5"/>
        <v>0</v>
      </c>
      <c r="P22" s="799">
        <f t="shared" si="6"/>
        <v>0</v>
      </c>
    </row>
    <row r="23" spans="1:23" s="35" customFormat="1" ht="20.45" customHeight="1">
      <c r="B23" s="46"/>
      <c r="C23" s="46"/>
      <c r="D23" s="46"/>
      <c r="E23" s="46"/>
      <c r="F23" s="46"/>
      <c r="G23" s="46"/>
      <c r="H23" s="46"/>
      <c r="I23" s="46"/>
      <c r="J23" s="46"/>
      <c r="K23" s="46"/>
      <c r="M23" s="781">
        <v>44287</v>
      </c>
      <c r="N23" s="799">
        <f t="shared" si="4"/>
        <v>0</v>
      </c>
      <c r="O23" s="799">
        <f t="shared" si="5"/>
        <v>0</v>
      </c>
      <c r="P23" s="799">
        <f t="shared" si="6"/>
        <v>0</v>
      </c>
    </row>
    <row r="24" spans="1:23" s="35" customFormat="1" ht="20.45" customHeight="1">
      <c r="B24" s="46"/>
      <c r="C24" s="46"/>
      <c r="D24" s="46"/>
      <c r="E24" s="46"/>
      <c r="F24" s="46"/>
      <c r="G24" s="46"/>
      <c r="H24" s="46"/>
      <c r="I24" s="46"/>
      <c r="J24" s="46"/>
      <c r="K24" s="46"/>
      <c r="M24" s="781">
        <v>44317</v>
      </c>
      <c r="N24" s="799">
        <f t="shared" si="4"/>
        <v>0</v>
      </c>
      <c r="O24" s="799">
        <f t="shared" si="5"/>
        <v>0</v>
      </c>
      <c r="P24" s="799">
        <f t="shared" si="6"/>
        <v>0</v>
      </c>
    </row>
    <row r="25" spans="1:23" s="35" customFormat="1" ht="20.45" customHeight="1">
      <c r="A25" s="36"/>
      <c r="B25" s="197"/>
      <c r="C25" s="197"/>
      <c r="D25" s="197"/>
      <c r="E25" s="46"/>
      <c r="F25" s="46"/>
      <c r="G25" s="46"/>
      <c r="H25" s="46"/>
      <c r="I25" s="46"/>
      <c r="J25" s="46"/>
      <c r="K25" s="46"/>
      <c r="M25" s="847">
        <v>44348</v>
      </c>
      <c r="N25" s="799">
        <f t="shared" si="4"/>
        <v>0</v>
      </c>
      <c r="O25" s="799">
        <f t="shared" si="5"/>
        <v>0</v>
      </c>
      <c r="P25" s="799">
        <f t="shared" si="6"/>
        <v>0</v>
      </c>
    </row>
    <row r="26" spans="1:23" s="35" customFormat="1" ht="20.45" customHeight="1">
      <c r="B26" s="197"/>
      <c r="C26" s="197"/>
      <c r="D26" s="197"/>
      <c r="E26" s="46"/>
      <c r="F26" s="46"/>
      <c r="G26" s="46"/>
      <c r="H26" s="46"/>
      <c r="I26" s="46"/>
      <c r="J26" s="46"/>
      <c r="K26" s="46"/>
      <c r="M26" s="847">
        <v>44378</v>
      </c>
      <c r="N26" s="799">
        <f t="shared" si="4"/>
        <v>0</v>
      </c>
      <c r="O26" s="799">
        <f t="shared" si="5"/>
        <v>0</v>
      </c>
      <c r="P26" s="799">
        <f t="shared" si="6"/>
        <v>0</v>
      </c>
    </row>
    <row r="27" spans="1:23" s="35" customFormat="1" ht="20.45" customHeight="1">
      <c r="B27" s="46"/>
      <c r="C27" s="46"/>
      <c r="D27" s="46"/>
      <c r="E27" s="46"/>
      <c r="F27" s="46"/>
      <c r="G27" s="46"/>
      <c r="H27" s="46"/>
      <c r="I27" s="46"/>
      <c r="J27" s="46"/>
      <c r="K27" s="46"/>
      <c r="M27" s="590"/>
      <c r="N27" s="799">
        <f t="shared" si="4"/>
        <v>0</v>
      </c>
      <c r="O27" s="799">
        <f t="shared" si="5"/>
        <v>0</v>
      </c>
      <c r="P27" s="799">
        <f t="shared" si="6"/>
        <v>0</v>
      </c>
    </row>
    <row r="28" spans="1:23" s="35" customFormat="1" ht="20.45" customHeight="1">
      <c r="B28" s="46"/>
      <c r="C28" s="46"/>
      <c r="D28" s="46"/>
      <c r="E28" s="46"/>
      <c r="F28" s="46"/>
      <c r="G28" s="46"/>
      <c r="H28" s="46"/>
      <c r="I28" s="46"/>
      <c r="J28" s="46"/>
      <c r="K28" s="46"/>
      <c r="M28" s="590"/>
      <c r="N28" s="799">
        <f t="shared" si="4"/>
        <v>0</v>
      </c>
      <c r="O28" s="799">
        <f t="shared" si="5"/>
        <v>0</v>
      </c>
      <c r="P28" s="799">
        <f t="shared" si="6"/>
        <v>0</v>
      </c>
    </row>
    <row r="29" spans="1:23" s="35" customFormat="1" ht="20.45" customHeight="1">
      <c r="M29" s="590"/>
      <c r="N29" s="799">
        <f t="shared" si="4"/>
        <v>0</v>
      </c>
      <c r="O29" s="799">
        <f t="shared" si="5"/>
        <v>0</v>
      </c>
      <c r="P29" s="799">
        <f t="shared" si="6"/>
        <v>0</v>
      </c>
    </row>
    <row r="30" spans="1:23" s="35" customFormat="1" ht="20.45" customHeight="1">
      <c r="B30" s="46"/>
      <c r="C30" s="46"/>
      <c r="D30" s="46"/>
      <c r="E30" s="46"/>
      <c r="F30" s="46"/>
      <c r="G30" s="46"/>
      <c r="H30" s="46"/>
      <c r="I30" s="46"/>
      <c r="J30" s="46"/>
      <c r="K30" s="46"/>
      <c r="M30" s="590"/>
      <c r="N30" s="799">
        <f t="shared" si="4"/>
        <v>0</v>
      </c>
      <c r="O30" s="799">
        <f t="shared" si="5"/>
        <v>0</v>
      </c>
      <c r="P30" s="799">
        <f t="shared" si="6"/>
        <v>0</v>
      </c>
    </row>
    <row r="31" spans="1:23" s="35" customFormat="1" ht="20.45" customHeight="1">
      <c r="B31" s="16"/>
      <c r="C31" s="46"/>
      <c r="D31" s="46"/>
      <c r="E31" s="46"/>
      <c r="F31" s="46"/>
      <c r="G31" s="46"/>
      <c r="H31" s="46"/>
      <c r="I31" s="46"/>
      <c r="J31" s="46"/>
      <c r="K31" s="46"/>
      <c r="M31" s="590"/>
      <c r="N31" s="799"/>
      <c r="O31" s="799"/>
      <c r="P31" s="799">
        <f t="shared" si="6"/>
        <v>0</v>
      </c>
    </row>
    <row r="32" spans="1:23" ht="20.45" customHeight="1">
      <c r="B32" s="879"/>
      <c r="C32" s="16"/>
      <c r="D32" s="16"/>
      <c r="E32" s="16"/>
      <c r="F32" s="16"/>
      <c r="G32" s="16"/>
      <c r="H32" s="16"/>
    </row>
    <row r="33" spans="2:18" ht="20.45" customHeight="1">
      <c r="B33" s="1190" t="s">
        <v>170</v>
      </c>
      <c r="C33" s="1190"/>
      <c r="D33" s="1190"/>
      <c r="E33" s="1190"/>
      <c r="F33" s="1190"/>
      <c r="G33" s="1190"/>
      <c r="H33" s="1190"/>
      <c r="I33" s="1190"/>
      <c r="J33" s="1190"/>
      <c r="K33" s="1190"/>
      <c r="P33" s="798"/>
      <c r="Q33" s="14"/>
      <c r="R33" s="14"/>
    </row>
    <row r="34" spans="2:18" ht="20.45" customHeight="1">
      <c r="P34" s="798"/>
      <c r="Q34" s="14"/>
    </row>
    <row r="35" spans="2:18" ht="20.45" customHeight="1">
      <c r="P35" s="798"/>
      <c r="Q35" s="14"/>
    </row>
    <row r="36" spans="2:18" ht="20.45" customHeight="1">
      <c r="P36" s="798"/>
      <c r="Q36" s="14"/>
    </row>
    <row r="37" spans="2:18" ht="20.45" customHeight="1">
      <c r="P37" s="798"/>
      <c r="Q37" s="14"/>
    </row>
    <row r="38" spans="2:18" ht="20.45" customHeight="1">
      <c r="P38" s="798"/>
      <c r="Q38" s="14"/>
    </row>
    <row r="39" spans="2:18" ht="20.45" customHeight="1">
      <c r="P39" s="798"/>
      <c r="Q39" s="14"/>
    </row>
    <row r="40" spans="2:18">
      <c r="P40" s="798"/>
      <c r="Q40" s="14"/>
    </row>
    <row r="41" spans="2:18">
      <c r="P41" s="798"/>
      <c r="Q41" s="14"/>
    </row>
    <row r="42" spans="2:18">
      <c r="P42" s="798"/>
      <c r="Q42" s="14"/>
    </row>
    <row r="43" spans="2:18">
      <c r="P43" s="798"/>
      <c r="Q43" s="14"/>
    </row>
    <row r="44" spans="2:18">
      <c r="P44" s="798"/>
      <c r="Q44" s="14"/>
    </row>
    <row r="45" spans="2:18">
      <c r="P45" s="798"/>
      <c r="Q45" s="14"/>
    </row>
    <row r="46" spans="2:18">
      <c r="P46" s="798"/>
      <c r="Q46" s="14"/>
    </row>
    <row r="47" spans="2:18">
      <c r="P47" s="798"/>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0"/>
  <sheetViews>
    <sheetView zoomScaleNormal="100" zoomScaleSheetLayoutView="75" workbookViewId="0">
      <selection activeCell="S12" sqref="S12"/>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3" customFormat="1" ht="12.75">
      <c r="B1" s="1098" t="s">
        <v>383</v>
      </c>
      <c r="C1" s="1098"/>
      <c r="D1" s="1098"/>
      <c r="E1" s="1098"/>
      <c r="F1" s="1098"/>
      <c r="G1" s="1098"/>
      <c r="H1" s="1098"/>
      <c r="I1" s="1098"/>
      <c r="J1" s="1098"/>
      <c r="K1" s="1098"/>
      <c r="L1" s="1098"/>
      <c r="M1" s="1098"/>
      <c r="N1" s="1098"/>
    </row>
    <row r="2" spans="2:26" s="23" customFormat="1" ht="12.75">
      <c r="B2" s="25"/>
      <c r="C2" s="25"/>
      <c r="D2" s="25"/>
      <c r="E2" s="25"/>
      <c r="F2" s="25"/>
      <c r="G2" s="25"/>
      <c r="H2" s="25"/>
      <c r="I2" s="25"/>
      <c r="J2" s="25"/>
      <c r="K2" s="25"/>
      <c r="L2" s="25"/>
      <c r="M2" s="25"/>
      <c r="N2" s="25"/>
    </row>
    <row r="3" spans="2:26" s="23" customFormat="1" ht="12.75">
      <c r="B3" s="1104" t="s">
        <v>431</v>
      </c>
      <c r="C3" s="1104"/>
      <c r="D3" s="1104"/>
      <c r="E3" s="1104"/>
      <c r="F3" s="1104"/>
      <c r="G3" s="1104"/>
      <c r="H3" s="1104"/>
      <c r="I3" s="1104"/>
      <c r="J3" s="1104"/>
      <c r="K3" s="1104"/>
      <c r="L3" s="1104"/>
      <c r="M3" s="1104"/>
      <c r="N3" s="1104"/>
    </row>
    <row r="4" spans="2:26" s="23" customFormat="1" ht="12" customHeight="1">
      <c r="B4" s="1104" t="s">
        <v>425</v>
      </c>
      <c r="C4" s="1104"/>
      <c r="D4" s="1104"/>
      <c r="E4" s="1104"/>
      <c r="F4" s="1104"/>
      <c r="G4" s="1104"/>
      <c r="H4" s="1104"/>
      <c r="I4" s="1104"/>
      <c r="J4" s="1104"/>
      <c r="K4" s="1104"/>
      <c r="L4" s="1104"/>
      <c r="M4" s="1104"/>
      <c r="N4" s="1104"/>
    </row>
    <row r="5" spans="2:26" s="21" customFormat="1" ht="30" customHeight="1">
      <c r="B5" s="1178" t="s">
        <v>96</v>
      </c>
      <c r="C5" s="1194" t="s">
        <v>14</v>
      </c>
      <c r="D5" s="1194"/>
      <c r="E5" s="1193" t="s">
        <v>141</v>
      </c>
      <c r="F5" s="1193"/>
      <c r="G5" s="1193" t="s">
        <v>520</v>
      </c>
      <c r="H5" s="1193"/>
      <c r="I5" s="1194" t="s">
        <v>142</v>
      </c>
      <c r="J5" s="1194"/>
      <c r="K5" s="1194" t="s">
        <v>143</v>
      </c>
      <c r="L5" s="1194"/>
      <c r="M5" s="1195" t="s">
        <v>7</v>
      </c>
      <c r="N5" s="1195"/>
      <c r="O5" s="605"/>
      <c r="P5" s="33"/>
      <c r="Q5" s="35"/>
      <c r="R5" s="35"/>
      <c r="S5" s="35"/>
      <c r="T5" s="33"/>
      <c r="U5" s="35"/>
      <c r="V5" s="35"/>
      <c r="W5" s="35"/>
    </row>
    <row r="6" spans="2:26" s="21" customFormat="1" ht="42" customHeight="1">
      <c r="B6" s="1178"/>
      <c r="C6" s="604">
        <v>2020</v>
      </c>
      <c r="D6" s="604">
        <v>2021</v>
      </c>
      <c r="E6" s="604">
        <v>2020</v>
      </c>
      <c r="F6" s="604">
        <v>2021</v>
      </c>
      <c r="G6" s="604">
        <v>2020</v>
      </c>
      <c r="H6" s="604">
        <v>2021</v>
      </c>
      <c r="I6" s="604">
        <v>2020</v>
      </c>
      <c r="J6" s="604">
        <v>2021</v>
      </c>
      <c r="K6" s="604">
        <v>2020</v>
      </c>
      <c r="L6" s="604">
        <v>2021</v>
      </c>
      <c r="M6" s="604">
        <v>2020</v>
      </c>
      <c r="N6" s="604">
        <v>2021</v>
      </c>
    </row>
    <row r="7" spans="2:26" s="21" customFormat="1" ht="15.75" customHeight="1">
      <c r="B7" s="39" t="s">
        <v>47</v>
      </c>
      <c r="C7" s="919">
        <v>186.69354838709677</v>
      </c>
      <c r="D7" s="919">
        <v>206.00806451612902</v>
      </c>
      <c r="E7" s="919">
        <v>174.5519713261649</v>
      </c>
      <c r="F7" s="919">
        <v>193.62023460410558</v>
      </c>
      <c r="G7" s="919">
        <v>169.48179723502301</v>
      </c>
      <c r="H7" s="919">
        <v>191.66666666666669</v>
      </c>
      <c r="I7" s="919">
        <v>169.17204301075267</v>
      </c>
      <c r="J7" s="919">
        <v>190.91129032258064</v>
      </c>
      <c r="K7" s="919">
        <v>172.53289473684211</v>
      </c>
      <c r="L7" s="919">
        <v>188.66666666666669</v>
      </c>
      <c r="M7" s="919">
        <v>173.5213821241872</v>
      </c>
      <c r="N7" s="919">
        <v>195.2924834177893</v>
      </c>
      <c r="Q7" s="35"/>
      <c r="R7" s="35"/>
    </row>
    <row r="8" spans="2:26" s="21" customFormat="1" ht="15.75" customHeight="1">
      <c r="B8" s="39" t="s">
        <v>48</v>
      </c>
      <c r="C8" s="919">
        <v>195.79310344827587</v>
      </c>
      <c r="D8" s="919">
        <v>213.75</v>
      </c>
      <c r="E8" s="919">
        <v>177.18357487922705</v>
      </c>
      <c r="F8" s="919">
        <v>195.34920634920633</v>
      </c>
      <c r="G8" s="919">
        <v>176.65221674876847</v>
      </c>
      <c r="H8" s="919">
        <v>194.20833333333331</v>
      </c>
      <c r="I8" s="919">
        <v>176.81609195402299</v>
      </c>
      <c r="J8" s="919">
        <v>193.21250000000001</v>
      </c>
      <c r="K8" s="919">
        <v>177.92112068965517</v>
      </c>
      <c r="L8" s="919">
        <v>196.71845238095241</v>
      </c>
      <c r="M8" s="919">
        <v>179.82508836490845</v>
      </c>
      <c r="N8" s="919">
        <v>197.594057537743</v>
      </c>
      <c r="Q8" s="35"/>
      <c r="R8" s="35"/>
      <c r="S8" s="35"/>
      <c r="U8" s="35"/>
    </row>
    <row r="9" spans="2:26" s="21" customFormat="1" ht="15.75" customHeight="1">
      <c r="B9" s="39" t="s">
        <v>49</v>
      </c>
      <c r="C9" s="919">
        <v>206.29569892473123</v>
      </c>
      <c r="D9" s="919"/>
      <c r="E9" s="919"/>
      <c r="F9" s="919"/>
      <c r="G9" s="919">
        <v>186.93387096774194</v>
      </c>
      <c r="H9" s="919"/>
      <c r="I9" s="919">
        <v>185.91129032258064</v>
      </c>
      <c r="J9" s="919"/>
      <c r="K9" s="919">
        <v>184.15860215053766</v>
      </c>
      <c r="L9" s="919"/>
      <c r="M9" s="919">
        <v>191.72243401759533</v>
      </c>
      <c r="N9" s="919"/>
      <c r="Q9" s="35"/>
    </row>
    <row r="10" spans="2:26" s="21" customFormat="1" ht="15.75" customHeight="1">
      <c r="B10" s="39" t="s">
        <v>57</v>
      </c>
      <c r="C10" s="919">
        <v>209.46666666666667</v>
      </c>
      <c r="D10" s="919"/>
      <c r="E10" s="919"/>
      <c r="F10" s="919"/>
      <c r="G10" s="919">
        <v>190</v>
      </c>
      <c r="H10" s="919"/>
      <c r="I10" s="919">
        <v>193.42777777777775</v>
      </c>
      <c r="J10" s="919"/>
      <c r="K10" s="919">
        <v>183</v>
      </c>
      <c r="L10" s="919"/>
      <c r="M10" s="919">
        <v>201.28435185185182</v>
      </c>
      <c r="N10" s="919"/>
      <c r="P10" s="40"/>
      <c r="Q10" s="35"/>
      <c r="R10" s="35"/>
      <c r="S10" s="35"/>
      <c r="T10" s="35"/>
      <c r="U10" s="35"/>
      <c r="Y10" s="40"/>
    </row>
    <row r="11" spans="2:26" s="21" customFormat="1" ht="15.75" customHeight="1">
      <c r="B11" s="39" t="s">
        <v>58</v>
      </c>
      <c r="C11" s="919">
        <v>211.61290322580643</v>
      </c>
      <c r="D11" s="919"/>
      <c r="E11" s="919"/>
      <c r="F11" s="919"/>
      <c r="G11" s="919">
        <v>192.33333333333331</v>
      </c>
      <c r="H11" s="919"/>
      <c r="I11" s="919">
        <v>199.32258064516128</v>
      </c>
      <c r="J11" s="919"/>
      <c r="K11" s="919">
        <v>183</v>
      </c>
      <c r="L11" s="919"/>
      <c r="M11" s="919">
        <v>202.50035842293906</v>
      </c>
      <c r="N11" s="919"/>
      <c r="P11" s="40"/>
      <c r="Z11" s="35"/>
    </row>
    <row r="12" spans="2:26" s="21" customFormat="1" ht="15.75" customHeight="1">
      <c r="B12" s="39" t="s">
        <v>50</v>
      </c>
      <c r="C12" s="919">
        <v>205</v>
      </c>
      <c r="D12" s="919"/>
      <c r="E12" s="919"/>
      <c r="F12" s="919"/>
      <c r="G12" s="919">
        <v>194</v>
      </c>
      <c r="H12" s="919"/>
      <c r="I12" s="919">
        <v>193.33333333333329</v>
      </c>
      <c r="J12" s="919"/>
      <c r="K12" s="919">
        <v>183</v>
      </c>
      <c r="L12" s="919"/>
      <c r="M12" s="919">
        <v>198.63240740740741</v>
      </c>
      <c r="N12" s="919"/>
      <c r="P12" s="40"/>
      <c r="V12" s="35"/>
      <c r="W12" s="35"/>
      <c r="X12" s="35"/>
      <c r="Y12" s="35"/>
      <c r="Z12" s="35"/>
    </row>
    <row r="13" spans="2:26" s="21" customFormat="1" ht="15.75" customHeight="1">
      <c r="B13" s="39" t="s">
        <v>51</v>
      </c>
      <c r="C13" s="919">
        <v>200.80645161290323</v>
      </c>
      <c r="D13" s="919"/>
      <c r="E13" s="919"/>
      <c r="F13" s="919"/>
      <c r="G13" s="919"/>
      <c r="H13" s="919"/>
      <c r="I13" s="919">
        <v>192.63440860215053</v>
      </c>
      <c r="J13" s="919"/>
      <c r="K13" s="919"/>
      <c r="L13" s="919"/>
      <c r="M13" s="919">
        <v>197.90322580645162</v>
      </c>
      <c r="N13" s="919"/>
      <c r="P13" s="37"/>
      <c r="Q13" s="35"/>
    </row>
    <row r="14" spans="2:26" s="21" customFormat="1" ht="15.75" customHeight="1">
      <c r="B14" s="39" t="s">
        <v>52</v>
      </c>
      <c r="C14" s="919">
        <v>200</v>
      </c>
      <c r="D14" s="919"/>
      <c r="E14" s="919"/>
      <c r="F14" s="919"/>
      <c r="G14" s="919"/>
      <c r="H14" s="919"/>
      <c r="I14" s="919">
        <v>191.93548387096772</v>
      </c>
      <c r="J14" s="919"/>
      <c r="K14" s="919"/>
      <c r="L14" s="919"/>
      <c r="M14" s="919">
        <v>198.85080645161293</v>
      </c>
      <c r="N14" s="919"/>
      <c r="P14" s="37"/>
      <c r="Q14" s="35"/>
    </row>
    <row r="15" spans="2:26" s="21" customFormat="1" ht="15.75" customHeight="1">
      <c r="B15" s="39" t="s">
        <v>53</v>
      </c>
      <c r="C15" s="920">
        <v>200.5</v>
      </c>
      <c r="D15" s="919"/>
      <c r="E15" s="920"/>
      <c r="F15" s="920"/>
      <c r="G15" s="920"/>
      <c r="H15" s="920"/>
      <c r="I15" s="919">
        <v>192.27777777777774</v>
      </c>
      <c r="J15" s="919"/>
      <c r="K15" s="920"/>
      <c r="L15" s="920"/>
      <c r="M15" s="919">
        <v>199.99107142857144</v>
      </c>
      <c r="N15" s="919"/>
      <c r="P15" s="35"/>
      <c r="Q15" s="35"/>
      <c r="R15" s="35"/>
    </row>
    <row r="16" spans="2:26" s="21" customFormat="1" ht="15.75" customHeight="1">
      <c r="B16" s="39" t="s">
        <v>54</v>
      </c>
      <c r="C16" s="919">
        <v>201.11111111111109</v>
      </c>
      <c r="D16" s="919"/>
      <c r="E16" s="919"/>
      <c r="F16" s="919"/>
      <c r="G16" s="919"/>
      <c r="H16" s="919"/>
      <c r="I16" s="919">
        <v>190.32258064516128</v>
      </c>
      <c r="J16" s="919"/>
      <c r="K16" s="919"/>
      <c r="L16" s="919"/>
      <c r="M16" s="919">
        <v>194.58525345622118</v>
      </c>
      <c r="N16" s="919"/>
      <c r="Q16" s="35"/>
      <c r="R16" s="45"/>
    </row>
    <row r="17" spans="2:22" s="21" customFormat="1" ht="15.75" customHeight="1">
      <c r="B17" s="39" t="s">
        <v>55</v>
      </c>
      <c r="C17" s="920"/>
      <c r="D17" s="920"/>
      <c r="E17" s="920"/>
      <c r="F17" s="920"/>
      <c r="G17" s="920"/>
      <c r="H17" s="920"/>
      <c r="I17" s="919">
        <v>185</v>
      </c>
      <c r="J17" s="919"/>
      <c r="K17" s="919"/>
      <c r="L17" s="919"/>
      <c r="M17" s="919">
        <v>202.5</v>
      </c>
      <c r="N17" s="919"/>
      <c r="P17" s="40"/>
      <c r="Q17" s="35"/>
    </row>
    <row r="18" spans="2:22" s="21" customFormat="1" ht="15.75" customHeight="1">
      <c r="B18" s="39" t="s">
        <v>56</v>
      </c>
      <c r="C18" s="919">
        <v>210.4</v>
      </c>
      <c r="D18" s="919"/>
      <c r="E18" s="919">
        <v>191.44845679012346</v>
      </c>
      <c r="F18" s="919"/>
      <c r="G18" s="919"/>
      <c r="H18" s="919"/>
      <c r="I18" s="919">
        <v>193</v>
      </c>
      <c r="J18" s="919"/>
      <c r="K18" s="919"/>
      <c r="L18" s="919"/>
      <c r="M18" s="919">
        <v>207.93729321753514</v>
      </c>
      <c r="N18" s="919"/>
      <c r="P18" s="40"/>
      <c r="Q18" s="35"/>
    </row>
    <row r="19" spans="2:22" s="21" customFormat="1" ht="15" customHeight="1">
      <c r="B19" s="1196" t="s">
        <v>720</v>
      </c>
      <c r="C19" s="1196"/>
      <c r="D19" s="1196"/>
      <c r="E19" s="1196"/>
      <c r="F19" s="1196"/>
      <c r="G19" s="1196"/>
      <c r="H19" s="1196"/>
      <c r="I19" s="1196"/>
      <c r="J19" s="1196"/>
      <c r="K19" s="1196"/>
      <c r="L19" s="1196"/>
      <c r="M19" s="1196"/>
      <c r="N19" s="1196"/>
    </row>
    <row r="20" spans="2:22" ht="33" customHeight="1">
      <c r="B20" s="1196"/>
      <c r="C20" s="1196"/>
      <c r="D20" s="1196"/>
      <c r="E20" s="1196"/>
      <c r="F20" s="1196"/>
      <c r="G20" s="1196"/>
      <c r="H20" s="1196"/>
      <c r="I20" s="1196"/>
      <c r="J20" s="1196"/>
      <c r="K20" s="1196"/>
      <c r="L20" s="1196"/>
      <c r="M20" s="1196"/>
      <c r="N20" s="1196"/>
    </row>
    <row r="21" spans="2:22" ht="14.25" customHeight="1">
      <c r="B21" s="1192"/>
      <c r="C21" s="1192"/>
      <c r="D21" s="1192"/>
      <c r="E21" s="1192"/>
      <c r="F21" s="1192"/>
      <c r="G21" s="1192"/>
      <c r="H21" s="1192"/>
      <c r="I21" s="93"/>
      <c r="J21" s="93"/>
      <c r="K21" s="93"/>
      <c r="L21" s="93"/>
      <c r="M21" s="93"/>
      <c r="N21" s="92"/>
    </row>
    <row r="22" spans="2:22">
      <c r="J22" s="11"/>
      <c r="K22" s="11"/>
      <c r="R22" s="14"/>
      <c r="S22" s="14"/>
      <c r="T22" s="14"/>
      <c r="U22" s="14"/>
      <c r="V22" s="14"/>
    </row>
    <row r="23" spans="2:22">
      <c r="J23" s="11"/>
      <c r="K23" s="11"/>
      <c r="S23" s="14"/>
      <c r="T23" s="14"/>
      <c r="U23" s="14"/>
      <c r="V23" s="14"/>
    </row>
    <row r="24" spans="2:22">
      <c r="B24" s="16"/>
      <c r="C24" s="16"/>
      <c r="D24" s="16"/>
      <c r="E24" s="16"/>
      <c r="F24" s="16"/>
      <c r="G24" s="16"/>
      <c r="J24" s="11"/>
      <c r="K24" s="11"/>
      <c r="R24" s="14"/>
      <c r="S24" s="14"/>
      <c r="T24" s="14"/>
      <c r="U24" s="14"/>
      <c r="V24" s="14"/>
    </row>
    <row r="25" spans="2:22">
      <c r="C25" s="16"/>
      <c r="D25" s="16"/>
      <c r="E25" s="16"/>
      <c r="F25" s="16"/>
      <c r="G25" s="16"/>
      <c r="J25" s="11"/>
      <c r="K25" s="11"/>
      <c r="S25" s="14"/>
      <c r="T25" s="14"/>
      <c r="U25" s="14"/>
      <c r="V25" s="14"/>
    </row>
    <row r="26" spans="2:22">
      <c r="J26" s="11"/>
      <c r="K26" s="11"/>
      <c r="R26" s="14"/>
      <c r="S26" s="14"/>
      <c r="T26" s="14"/>
      <c r="U26" s="14"/>
      <c r="V26" s="14"/>
    </row>
    <row r="27" spans="2:22">
      <c r="J27" s="11"/>
      <c r="K27" s="11"/>
      <c r="S27" s="14"/>
      <c r="T27" s="14"/>
      <c r="U27" s="14"/>
      <c r="V27" s="14"/>
    </row>
    <row r="28" spans="2:22">
      <c r="J28" s="11"/>
      <c r="K28" s="11"/>
      <c r="R28" s="14"/>
      <c r="S28" s="14"/>
      <c r="T28" s="14"/>
      <c r="U28" s="14"/>
      <c r="V28" s="14"/>
    </row>
    <row r="29" spans="2:22">
      <c r="J29" s="11"/>
      <c r="K29" s="11"/>
      <c r="S29" s="14"/>
      <c r="T29" s="14"/>
      <c r="U29" s="14"/>
      <c r="V29" s="14"/>
    </row>
    <row r="30" spans="2:22">
      <c r="R30" s="14"/>
      <c r="S30" s="14"/>
      <c r="T30" s="14"/>
      <c r="U30" s="14"/>
      <c r="V30" s="14"/>
    </row>
    <row r="31" spans="2:22">
      <c r="S31" s="14"/>
      <c r="T31" s="14"/>
      <c r="U31" s="14"/>
      <c r="V31" s="14"/>
    </row>
    <row r="32" spans="2:22">
      <c r="R32" s="14"/>
      <c r="S32" s="14"/>
      <c r="T32" s="14"/>
      <c r="U32" s="14"/>
      <c r="V32" s="14"/>
    </row>
    <row r="33" spans="18:22">
      <c r="S33" s="14"/>
      <c r="T33" s="14"/>
      <c r="U33" s="14"/>
      <c r="V33" s="14"/>
    </row>
    <row r="34" spans="18:22">
      <c r="R34" s="14"/>
      <c r="S34" s="14"/>
      <c r="T34" s="14"/>
      <c r="U34" s="14"/>
      <c r="V34" s="14"/>
    </row>
    <row r="36" spans="18:22" ht="13.5" customHeight="1"/>
    <row r="37" spans="18:22" ht="13.5" customHeight="1"/>
    <row r="38" spans="18:22" ht="13.5" customHeight="1"/>
    <row r="39" spans="18:22" ht="13.5" customHeight="1"/>
    <row r="40" spans="18:22" ht="12.75" customHeight="1"/>
    <row r="41" spans="18:22" ht="12.75" customHeight="1"/>
    <row r="42" spans="18:22" ht="1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12"/>
    </row>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activeCell="F6" sqref="F6"/>
    </sheetView>
  </sheetViews>
  <sheetFormatPr baseColWidth="10" defaultRowHeight="18"/>
  <cols>
    <col min="1" max="5" width="12.36328125" customWidth="1"/>
  </cols>
  <sheetData>
    <row r="1" spans="1:7">
      <c r="A1" s="1077" t="s">
        <v>104</v>
      </c>
      <c r="B1" s="1077"/>
      <c r="C1" s="1077"/>
      <c r="D1" s="1077"/>
      <c r="E1" s="1077"/>
    </row>
    <row r="2" spans="1:7">
      <c r="A2" s="1078"/>
      <c r="B2" s="1078"/>
      <c r="C2" s="1078"/>
      <c r="D2" s="1078"/>
      <c r="E2" s="1078"/>
    </row>
    <row r="3" spans="1:7" ht="27.75" customHeight="1">
      <c r="A3" s="1079" t="s">
        <v>739</v>
      </c>
      <c r="B3" s="1079"/>
      <c r="C3" s="1079"/>
      <c r="D3" s="1079"/>
      <c r="E3" s="1079"/>
      <c r="G3" s="212" t="s">
        <v>406</v>
      </c>
    </row>
    <row r="4" spans="1:7" ht="18.75" customHeight="1">
      <c r="A4" s="1079"/>
      <c r="B4" s="1079"/>
      <c r="C4" s="1079"/>
      <c r="D4" s="1079"/>
      <c r="E4" s="1079"/>
    </row>
    <row r="5" spans="1:7" ht="27.75" customHeight="1">
      <c r="A5" s="1079"/>
      <c r="B5" s="1079"/>
      <c r="C5" s="1079"/>
      <c r="D5" s="1079"/>
      <c r="E5" s="1079"/>
    </row>
    <row r="6" spans="1:7" ht="36.75" customHeight="1">
      <c r="A6" s="1079"/>
      <c r="B6" s="1079"/>
      <c r="C6" s="1079"/>
      <c r="D6" s="1079"/>
      <c r="E6" s="1079"/>
    </row>
    <row r="7" spans="1:7" ht="36.75" customHeight="1">
      <c r="A7" s="1079"/>
      <c r="B7" s="1079"/>
      <c r="C7" s="1079"/>
      <c r="D7" s="1079"/>
      <c r="E7" s="1079"/>
    </row>
    <row r="8" spans="1:7" ht="39.75" customHeight="1">
      <c r="A8" s="1079"/>
      <c r="B8" s="1079"/>
      <c r="C8" s="1079"/>
      <c r="D8" s="1079"/>
      <c r="E8" s="1079"/>
    </row>
    <row r="9" spans="1:7" ht="39.75" customHeight="1">
      <c r="A9" s="1079"/>
      <c r="B9" s="1079"/>
      <c r="C9" s="1079"/>
      <c r="D9" s="1079"/>
      <c r="E9" s="1079"/>
      <c r="G9" s="212"/>
    </row>
    <row r="10" spans="1:7" ht="39.75" customHeight="1">
      <c r="A10" s="1079"/>
      <c r="B10" s="1079"/>
      <c r="C10" s="1079"/>
      <c r="D10" s="1079"/>
      <c r="E10" s="1079"/>
    </row>
    <row r="11" spans="1:7" ht="409.5" customHeight="1">
      <c r="A11" s="1079"/>
      <c r="B11" s="1079"/>
      <c r="C11" s="1079"/>
      <c r="D11" s="1079"/>
      <c r="E11" s="1079"/>
    </row>
    <row r="12" spans="1:7" ht="29.25" customHeight="1">
      <c r="C12" s="129"/>
    </row>
    <row r="13" spans="1:7">
      <c r="C13" s="129"/>
    </row>
    <row r="14" spans="1:7">
      <c r="C14" s="129"/>
    </row>
    <row r="15" spans="1:7">
      <c r="C15" s="129"/>
    </row>
    <row r="16" spans="1:7">
      <c r="C16" s="129"/>
    </row>
    <row r="17" spans="3:3">
      <c r="C17" s="129"/>
    </row>
    <row r="18" spans="3:3">
      <c r="C18" s="12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I134"/>
  <sheetViews>
    <sheetView zoomScaleNormal="100" zoomScaleSheetLayoutView="75" workbookViewId="0">
      <selection activeCell="K16" sqref="K16"/>
    </sheetView>
  </sheetViews>
  <sheetFormatPr baseColWidth="10" defaultColWidth="10.90625" defaultRowHeight="12"/>
  <cols>
    <col min="1" max="1" width="2.26953125" style="1" customWidth="1"/>
    <col min="2" max="2" width="8.81640625" style="9" customWidth="1"/>
    <col min="3" max="4" width="8.81640625" style="1" customWidth="1"/>
    <col min="5" max="5" width="8.81640625" style="1" hidden="1" customWidth="1"/>
    <col min="6" max="7" width="8.81640625" style="142" customWidth="1"/>
    <col min="8" max="8" width="8.81640625" style="1" customWidth="1"/>
    <col min="9" max="9" width="3.7265625" style="1" customWidth="1"/>
    <col min="10" max="16384" width="10.90625" style="1"/>
  </cols>
  <sheetData>
    <row r="1" spans="2:9" s="27" customFormat="1" ht="12.75">
      <c r="B1" s="1104" t="s">
        <v>385</v>
      </c>
      <c r="C1" s="1104"/>
      <c r="D1" s="1104"/>
      <c r="E1" s="1104"/>
      <c r="F1" s="1104"/>
      <c r="G1" s="1104"/>
      <c r="H1" s="1104"/>
    </row>
    <row r="2" spans="2:9" s="27" customFormat="1" ht="12.75">
      <c r="B2" s="25"/>
      <c r="C2" s="32"/>
      <c r="D2" s="23"/>
      <c r="E2" s="23"/>
      <c r="F2" s="141"/>
      <c r="G2" s="141"/>
    </row>
    <row r="3" spans="2:9" s="27" customFormat="1" ht="12.75">
      <c r="B3" s="1104" t="s">
        <v>436</v>
      </c>
      <c r="C3" s="1104"/>
      <c r="D3" s="1104"/>
      <c r="E3" s="1104"/>
      <c r="F3" s="1104"/>
      <c r="G3" s="1104"/>
      <c r="H3" s="1104"/>
    </row>
    <row r="4" spans="2:9" s="27" customFormat="1" ht="12.75">
      <c r="B4" s="1104" t="s">
        <v>426</v>
      </c>
      <c r="C4" s="1104"/>
      <c r="D4" s="1104"/>
      <c r="E4" s="1104"/>
      <c r="F4" s="1104"/>
      <c r="G4" s="1104"/>
      <c r="H4" s="1104"/>
    </row>
    <row r="5" spans="2:9" s="27" customFormat="1" ht="66.75" customHeight="1">
      <c r="B5" s="359" t="s">
        <v>96</v>
      </c>
      <c r="C5" s="561" t="s">
        <v>147</v>
      </c>
      <c r="D5" s="561" t="s">
        <v>100</v>
      </c>
      <c r="E5" s="561" t="s">
        <v>101</v>
      </c>
      <c r="F5" s="561" t="s">
        <v>140</v>
      </c>
      <c r="G5" s="561" t="s">
        <v>144</v>
      </c>
      <c r="H5" s="561" t="s">
        <v>146</v>
      </c>
      <c r="I5" s="476"/>
    </row>
    <row r="6" spans="2:9" ht="14.25" customHeight="1">
      <c r="B6" s="721">
        <v>43831</v>
      </c>
      <c r="C6" s="614">
        <v>197.40277518709678</v>
      </c>
      <c r="D6" s="614">
        <v>238.47290322580645</v>
      </c>
      <c r="E6" s="614"/>
      <c r="F6" s="614">
        <v>210.10677419354838</v>
      </c>
      <c r="G6" s="614">
        <v>186.69354838709677</v>
      </c>
      <c r="H6" s="614">
        <v>170.12734792920389</v>
      </c>
      <c r="I6" s="477"/>
    </row>
    <row r="7" spans="2:9" ht="14.25" customHeight="1">
      <c r="B7" s="721">
        <v>43862</v>
      </c>
      <c r="C7" s="612">
        <v>202.3048186</v>
      </c>
      <c r="D7" s="612">
        <v>244</v>
      </c>
      <c r="E7" s="612"/>
      <c r="F7" s="612">
        <v>227.43</v>
      </c>
      <c r="G7" s="612">
        <v>190.5</v>
      </c>
      <c r="H7" s="612">
        <v>174.38817529449634</v>
      </c>
      <c r="I7" s="477"/>
    </row>
    <row r="8" spans="2:9" ht="14.25" customHeight="1">
      <c r="B8" s="720">
        <v>43891</v>
      </c>
      <c r="C8" s="614">
        <v>199.92051670967743</v>
      </c>
      <c r="D8" s="614">
        <v>240.97516129032257</v>
      </c>
      <c r="E8" s="614"/>
      <c r="F8" s="614">
        <v>243.37225806451613</v>
      </c>
      <c r="G8" s="614">
        <v>206.29569892473123</v>
      </c>
      <c r="H8" s="614">
        <v>182.74942056190335</v>
      </c>
      <c r="I8" s="477"/>
    </row>
    <row r="9" spans="2:9" ht="14.25" customHeight="1">
      <c r="B9" s="720">
        <v>43922</v>
      </c>
      <c r="C9" s="612">
        <v>201.62087051999998</v>
      </c>
      <c r="D9" s="612">
        <v>245.15799999999999</v>
      </c>
      <c r="E9" s="612"/>
      <c r="F9" s="612">
        <v>248.03900000000002</v>
      </c>
      <c r="G9" s="612">
        <v>209.46666666666667</v>
      </c>
      <c r="H9" s="612">
        <v>199.60643765752232</v>
      </c>
      <c r="I9" s="477"/>
    </row>
    <row r="10" spans="2:9" ht="14.25" customHeight="1">
      <c r="B10" s="720">
        <v>43952</v>
      </c>
      <c r="C10" s="612">
        <v>177.04831512258065</v>
      </c>
      <c r="D10" s="612">
        <v>218.02322580645162</v>
      </c>
      <c r="E10" s="612"/>
      <c r="F10" s="612">
        <v>234.98516129032257</v>
      </c>
      <c r="G10" s="612">
        <v>211.61290322580643</v>
      </c>
      <c r="H10" s="612">
        <v>197.54904988549347</v>
      </c>
      <c r="I10" s="477"/>
    </row>
    <row r="11" spans="2:9" ht="14.25" customHeight="1">
      <c r="B11" s="720">
        <v>43983</v>
      </c>
      <c r="C11" s="612">
        <v>167.00980475333333</v>
      </c>
      <c r="D11" s="612">
        <v>205.227</v>
      </c>
      <c r="E11" s="612"/>
      <c r="F11" s="612">
        <v>227.24099999999999</v>
      </c>
      <c r="G11" s="612">
        <v>205</v>
      </c>
      <c r="H11" s="612">
        <v>183.22657214412229</v>
      </c>
      <c r="I11" s="477"/>
    </row>
    <row r="12" spans="2:9" ht="14.25" customHeight="1">
      <c r="B12" s="720">
        <v>44013</v>
      </c>
      <c r="C12" s="612">
        <v>180.53161478064513</v>
      </c>
      <c r="D12" s="612">
        <v>216.62161290322581</v>
      </c>
      <c r="E12" s="612"/>
      <c r="F12" s="612">
        <v>223.77709677419355</v>
      </c>
      <c r="G12" s="612">
        <v>200.80645161290323</v>
      </c>
      <c r="H12" s="612">
        <v>214.90895754181034</v>
      </c>
      <c r="I12" s="477"/>
    </row>
    <row r="13" spans="2:9" ht="14.25" customHeight="1">
      <c r="B13" s="720">
        <v>44044</v>
      </c>
      <c r="C13" s="612">
        <v>182.65993483333335</v>
      </c>
      <c r="D13" s="612">
        <v>219.12133333333335</v>
      </c>
      <c r="E13" s="612"/>
      <c r="F13" s="612">
        <v>221.25533333333334</v>
      </c>
      <c r="G13" s="612">
        <v>200</v>
      </c>
      <c r="H13" s="612">
        <v>204.93150175571432</v>
      </c>
      <c r="I13" s="477"/>
    </row>
    <row r="14" spans="2:9" ht="14.25" customHeight="1">
      <c r="B14" s="720">
        <v>44075</v>
      </c>
      <c r="C14" s="612">
        <v>192.43095288148149</v>
      </c>
      <c r="D14" s="612">
        <v>228.68518518518519</v>
      </c>
      <c r="E14" s="612"/>
      <c r="F14" s="612">
        <v>222.61703703703705</v>
      </c>
      <c r="G14" s="612">
        <v>200</v>
      </c>
      <c r="H14" s="612"/>
      <c r="I14" s="477"/>
    </row>
    <row r="15" spans="2:9" ht="14.25" customHeight="1">
      <c r="B15" s="720">
        <v>44105</v>
      </c>
      <c r="C15" s="612">
        <v>214.06675385161293</v>
      </c>
      <c r="D15" s="612">
        <v>245.92806451612901</v>
      </c>
      <c r="E15" s="612"/>
      <c r="F15" s="612">
        <v>240.18096774193549</v>
      </c>
      <c r="G15" s="612">
        <v>201.11111111111109</v>
      </c>
      <c r="H15" s="612"/>
      <c r="I15" s="477"/>
    </row>
    <row r="16" spans="2:9" ht="14.25" customHeight="1">
      <c r="B16" s="720">
        <v>44136</v>
      </c>
      <c r="C16" s="612">
        <v>206.30947057600002</v>
      </c>
      <c r="D16" s="612">
        <v>241.54766666666666</v>
      </c>
      <c r="E16" s="612"/>
      <c r="F16" s="612">
        <v>234.87833333333333</v>
      </c>
      <c r="G16" s="612"/>
      <c r="H16" s="612"/>
      <c r="I16" s="477"/>
    </row>
    <row r="17" spans="2:9" ht="14.25" customHeight="1">
      <c r="B17" s="720">
        <v>44166</v>
      </c>
      <c r="C17" s="612">
        <v>200.308638</v>
      </c>
      <c r="D17" s="612">
        <v>234.72419354838709</v>
      </c>
      <c r="E17" s="612"/>
      <c r="F17" s="612">
        <v>232.79064516129034</v>
      </c>
      <c r="G17" s="612">
        <v>210.4</v>
      </c>
      <c r="H17" s="612">
        <v>170.59636438599611</v>
      </c>
      <c r="I17" s="477"/>
    </row>
    <row r="18" spans="2:9" ht="14.25" customHeight="1">
      <c r="B18" s="720">
        <v>44197</v>
      </c>
      <c r="C18" s="612">
        <v>206.52368560645161</v>
      </c>
      <c r="D18" s="612">
        <v>238.06580645161293</v>
      </c>
      <c r="E18" s="612">
        <v>0</v>
      </c>
      <c r="F18" s="612">
        <v>235.21935483870965</v>
      </c>
      <c r="G18" s="612">
        <v>206.00806451612902</v>
      </c>
      <c r="H18" s="612">
        <v>179.06751708119464</v>
      </c>
      <c r="I18" s="477"/>
    </row>
    <row r="19" spans="2:9" ht="14.25" customHeight="1">
      <c r="B19" s="720">
        <v>44228</v>
      </c>
      <c r="C19" s="612">
        <v>208.47107582500001</v>
      </c>
      <c r="D19" s="612">
        <v>240.04750000000001</v>
      </c>
      <c r="E19" s="612">
        <v>0</v>
      </c>
      <c r="F19" s="612">
        <v>228.05</v>
      </c>
      <c r="G19" s="612">
        <v>213.75</v>
      </c>
      <c r="H19" s="612">
        <v>189.30695667784781</v>
      </c>
      <c r="I19" s="477"/>
    </row>
    <row r="20" spans="2:9" ht="14.25" customHeight="1">
      <c r="B20" s="1138" t="s">
        <v>404</v>
      </c>
      <c r="C20" s="1138"/>
      <c r="D20" s="1138"/>
      <c r="E20" s="1138"/>
      <c r="F20" s="1138"/>
      <c r="G20" s="1138"/>
      <c r="H20" s="1138"/>
      <c r="I20" s="477"/>
    </row>
    <row r="21" spans="2:9" ht="14.25" customHeight="1">
      <c r="B21" s="606"/>
      <c r="C21" s="607"/>
      <c r="D21" s="607"/>
      <c r="E21" s="607"/>
      <c r="F21" s="607"/>
      <c r="G21" s="607"/>
      <c r="H21" s="607"/>
      <c r="I21" s="477"/>
    </row>
    <row r="22" spans="2:9" ht="14.25" customHeight="1">
      <c r="B22" s="606"/>
      <c r="C22" s="607"/>
      <c r="D22" s="607"/>
      <c r="E22" s="607"/>
      <c r="F22" s="607"/>
      <c r="G22" s="607"/>
      <c r="H22" s="607"/>
      <c r="I22" s="477"/>
    </row>
    <row r="23" spans="2:9" ht="15" customHeight="1">
      <c r="B23" s="1"/>
      <c r="F23" s="1"/>
      <c r="G23" s="1"/>
      <c r="I23" s="477"/>
    </row>
    <row r="24" spans="2:9" ht="12.75" customHeight="1">
      <c r="B24" s="56"/>
      <c r="C24" s="58"/>
      <c r="D24" s="58"/>
      <c r="E24" s="58"/>
      <c r="F24" s="143"/>
      <c r="G24" s="143"/>
      <c r="H24" s="58"/>
      <c r="I24" s="58"/>
    </row>
    <row r="25" spans="2:9" ht="15" customHeight="1">
      <c r="C25" s="58"/>
      <c r="G25" s="143"/>
      <c r="I25" s="20"/>
    </row>
    <row r="26" spans="2:9" ht="15" customHeight="1">
      <c r="I26" s="20"/>
    </row>
    <row r="27" spans="2:9" ht="15" customHeight="1">
      <c r="I27" s="20"/>
    </row>
    <row r="28" spans="2:9" ht="15" customHeight="1"/>
    <row r="29" spans="2:9" ht="15" customHeight="1"/>
    <row r="30" spans="2:9" ht="15" customHeight="1"/>
    <row r="31" spans="2:9" ht="15" customHeight="1">
      <c r="C31" s="16"/>
      <c r="D31" s="16"/>
      <c r="E31" s="16"/>
      <c r="F31" s="144"/>
    </row>
    <row r="32" spans="2:9" ht="15" customHeight="1">
      <c r="C32" s="16"/>
      <c r="D32" s="16"/>
      <c r="E32" s="16"/>
      <c r="F32" s="144"/>
    </row>
    <row r="33" spans="2:9" ht="15" customHeight="1"/>
    <row r="34" spans="2:9" ht="15" customHeight="1"/>
    <row r="35" spans="2:9" ht="15" customHeight="1"/>
    <row r="36" spans="2:9" ht="13.5" customHeight="1"/>
    <row r="37" spans="2:9" ht="13.5" customHeight="1"/>
    <row r="38" spans="2:9" ht="13.5" customHeight="1"/>
    <row r="39" spans="2:9" ht="13.5" customHeight="1"/>
    <row r="40" spans="2:9" ht="13.5" customHeight="1"/>
    <row r="41" spans="2:9" ht="7.5" customHeight="1"/>
    <row r="42" spans="2:9" ht="12" customHeight="1"/>
    <row r="43" spans="2:9" ht="13.5" customHeight="1">
      <c r="B43" s="16"/>
      <c r="C43" s="16"/>
      <c r="D43" s="16"/>
      <c r="E43" s="16"/>
      <c r="F43" s="144"/>
      <c r="G43" s="144"/>
      <c r="H43" s="16"/>
      <c r="I43" s="16"/>
    </row>
    <row r="44" spans="2:9" ht="13.5" customHeight="1"/>
    <row r="45" spans="2:9" ht="13.5" customHeight="1"/>
    <row r="46" spans="2:9" ht="13.5" customHeight="1"/>
    <row r="47" spans="2:9" ht="13.5" customHeight="1"/>
    <row r="48" spans="2:9" ht="13.5" customHeight="1"/>
    <row r="49" spans="9:9" ht="13.5" customHeight="1"/>
    <row r="50" spans="9:9" ht="13.5" customHeight="1"/>
    <row r="51" spans="9:9" ht="13.5" customHeight="1"/>
    <row r="52" spans="9:9" ht="13.5" customHeight="1"/>
    <row r="53" spans="9:9" ht="13.5" customHeight="1"/>
    <row r="54" spans="9:9" ht="13.5" customHeight="1"/>
    <row r="55" spans="9:9" ht="13.5" customHeight="1"/>
    <row r="56" spans="9:9" ht="13.5" customHeight="1">
      <c r="I56" s="9"/>
    </row>
    <row r="57" spans="9:9" ht="13.5" customHeight="1">
      <c r="I57" s="9"/>
    </row>
    <row r="58" spans="9:9" ht="13.5" customHeight="1"/>
    <row r="59" spans="9:9" ht="13.5" customHeight="1"/>
    <row r="60" spans="9:9" ht="13.5" customHeight="1"/>
    <row r="61" spans="9:9" ht="13.5" customHeight="1"/>
    <row r="62" spans="9:9" ht="13.5" customHeight="1"/>
    <row r="63" spans="9:9" ht="13.5" customHeight="1"/>
    <row r="64" spans="9:9"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0:H20"/>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pageSetUpPr fitToPage="1"/>
  </sheetPr>
  <dimension ref="A1:AH142"/>
  <sheetViews>
    <sheetView workbookViewId="0">
      <pane ySplit="1" topLeftCell="A2" activePane="bottomLeft" state="frozen"/>
      <selection pane="bottomLeft" activeCell="W14" sqref="W14"/>
    </sheetView>
  </sheetViews>
  <sheetFormatPr baseColWidth="10" defaultColWidth="7.26953125" defaultRowHeight="12.75"/>
  <cols>
    <col min="1" max="1" width="3.81640625" style="1029" customWidth="1"/>
    <col min="2" max="2" width="8.26953125" style="1029" customWidth="1"/>
    <col min="3" max="10" width="6.453125" style="1029" customWidth="1"/>
    <col min="11" max="11" width="6" style="1010" customWidth="1"/>
    <col min="12" max="12" width="7.6328125" style="1014" customWidth="1"/>
    <col min="13" max="13" width="7.6328125" style="1011" customWidth="1"/>
    <col min="14" max="20" width="7.6328125" style="1010" hidden="1" customWidth="1"/>
    <col min="21" max="29" width="7.6328125" style="1010" customWidth="1"/>
    <col min="30" max="30" width="7.6328125" style="1029" customWidth="1"/>
    <col min="31" max="33" width="7.6328125" style="1010" customWidth="1"/>
    <col min="34" max="44" width="7.6328125" style="1029" customWidth="1"/>
    <col min="45" max="16384" width="7.26953125" style="1029"/>
  </cols>
  <sheetData>
    <row r="1" spans="2:33" s="907" customFormat="1">
      <c r="B1" s="1027"/>
      <c r="C1" s="1027"/>
      <c r="D1" s="1027"/>
      <c r="E1" s="1027"/>
      <c r="F1" s="1027"/>
      <c r="G1" s="1027"/>
      <c r="H1" s="1027"/>
      <c r="I1" s="1027"/>
      <c r="J1" s="1027"/>
      <c r="K1" s="1031"/>
      <c r="L1" s="1007"/>
      <c r="M1" s="1008"/>
      <c r="N1" s="902">
        <v>44044</v>
      </c>
      <c r="O1" s="902">
        <v>44075</v>
      </c>
      <c r="P1" s="902">
        <v>44105</v>
      </c>
      <c r="Q1" s="902">
        <v>44136</v>
      </c>
      <c r="R1" s="902">
        <v>44166</v>
      </c>
      <c r="S1" s="902">
        <v>44197</v>
      </c>
      <c r="T1" s="902">
        <v>44228</v>
      </c>
      <c r="U1" s="902">
        <v>44256</v>
      </c>
      <c r="V1" s="902"/>
      <c r="W1" s="902">
        <v>44317</v>
      </c>
      <c r="X1" s="902"/>
      <c r="Y1" s="902">
        <v>44378</v>
      </c>
      <c r="Z1" s="902">
        <v>44409</v>
      </c>
      <c r="AA1" s="902">
        <v>44440</v>
      </c>
      <c r="AB1" s="902">
        <v>44531</v>
      </c>
      <c r="AC1" s="902">
        <v>44621</v>
      </c>
      <c r="AE1" s="589"/>
      <c r="AF1" s="589"/>
      <c r="AG1" s="589"/>
    </row>
    <row r="2" spans="2:33" s="907" customFormat="1">
      <c r="B2" s="1027"/>
      <c r="C2" s="1027"/>
      <c r="D2" s="1027"/>
      <c r="E2" s="1027"/>
      <c r="F2" s="1027"/>
      <c r="G2" s="1027"/>
      <c r="H2" s="1027"/>
      <c r="I2" s="1027"/>
      <c r="J2" s="1027"/>
      <c r="K2" s="1031"/>
      <c r="L2" s="1007">
        <v>43836</v>
      </c>
      <c r="M2" s="756" t="s">
        <v>521</v>
      </c>
      <c r="N2" s="1009"/>
      <c r="O2" s="1009">
        <v>183.62814</v>
      </c>
      <c r="P2" s="1009"/>
      <c r="Q2" s="1009"/>
      <c r="R2" s="1009">
        <v>187.57811999999998</v>
      </c>
      <c r="S2" s="1009"/>
      <c r="T2" s="1009"/>
      <c r="U2" s="1009">
        <v>191.43624</v>
      </c>
      <c r="V2" s="1009"/>
      <c r="W2" s="1009"/>
      <c r="X2" s="1009"/>
      <c r="Y2" s="1009"/>
      <c r="Z2" s="1009"/>
      <c r="AA2" s="1009"/>
      <c r="AB2" s="1010"/>
      <c r="AC2" s="589"/>
      <c r="AE2" s="589"/>
      <c r="AF2" s="589"/>
      <c r="AG2" s="589"/>
    </row>
    <row r="3" spans="2:33" s="907" customFormat="1">
      <c r="B3" s="1027"/>
      <c r="C3" s="1027"/>
      <c r="D3" s="1027"/>
      <c r="E3" s="1027"/>
      <c r="F3" s="1027"/>
      <c r="G3" s="1027"/>
      <c r="H3" s="1027"/>
      <c r="I3" s="1027"/>
      <c r="J3" s="1027"/>
      <c r="K3" s="1031"/>
      <c r="L3" s="1007">
        <v>43843</v>
      </c>
      <c r="M3" s="1011" t="s">
        <v>522</v>
      </c>
      <c r="N3" s="1009"/>
      <c r="O3" s="1009">
        <v>189.78276</v>
      </c>
      <c r="P3" s="1009"/>
      <c r="Q3" s="1009"/>
      <c r="R3" s="1009">
        <v>193.91646</v>
      </c>
      <c r="S3" s="1009"/>
      <c r="T3" s="1009"/>
      <c r="U3" s="1009">
        <v>197.95829999999998</v>
      </c>
      <c r="V3" s="1009"/>
      <c r="W3" s="1009"/>
      <c r="X3" s="1009"/>
      <c r="Y3" s="1009"/>
      <c r="Z3" s="1009"/>
      <c r="AA3" s="1009"/>
      <c r="AB3" s="1010"/>
      <c r="AC3" s="589"/>
      <c r="AE3" s="589"/>
      <c r="AF3" s="589"/>
      <c r="AG3" s="589"/>
    </row>
    <row r="4" spans="2:33" s="907" customFormat="1">
      <c r="B4" s="1027"/>
      <c r="C4" s="1027"/>
      <c r="D4" s="1027"/>
      <c r="E4" s="1027"/>
      <c r="F4" s="1027"/>
      <c r="G4" s="1027"/>
      <c r="H4" s="1027"/>
      <c r="I4" s="1027"/>
      <c r="J4" s="1027"/>
      <c r="K4" s="1031"/>
      <c r="L4" s="1007">
        <v>43851</v>
      </c>
      <c r="M4" s="1011" t="s">
        <v>523</v>
      </c>
      <c r="N4" s="1009"/>
      <c r="O4" s="1009">
        <v>195.75366</v>
      </c>
      <c r="P4" s="1009"/>
      <c r="Q4" s="1009"/>
      <c r="R4" s="1009">
        <v>199.70364000000001</v>
      </c>
      <c r="S4" s="1009"/>
      <c r="T4" s="1009"/>
      <c r="U4" s="1009">
        <v>198.87690000000001</v>
      </c>
      <c r="V4" s="1009"/>
      <c r="W4" s="1009"/>
      <c r="X4" s="1009"/>
      <c r="Y4" s="1009"/>
      <c r="Z4" s="1009"/>
      <c r="AA4" s="1009"/>
      <c r="AB4" s="1010"/>
      <c r="AC4" s="589"/>
      <c r="AE4" s="589"/>
      <c r="AF4" s="589"/>
      <c r="AG4" s="589"/>
    </row>
    <row r="5" spans="2:33" s="907" customFormat="1" ht="18" customHeight="1">
      <c r="B5" s="1027"/>
      <c r="C5" s="1027"/>
      <c r="D5" s="1027"/>
      <c r="E5" s="1027"/>
      <c r="F5" s="1027"/>
      <c r="G5" s="1027"/>
      <c r="H5" s="1027"/>
      <c r="I5" s="1027"/>
      <c r="J5" s="1027"/>
      <c r="K5" s="1031"/>
      <c r="L5" s="1007">
        <v>43857</v>
      </c>
      <c r="M5" s="1011" t="s">
        <v>524</v>
      </c>
      <c r="N5" s="1009"/>
      <c r="O5" s="1009">
        <v>190.88507999999999</v>
      </c>
      <c r="P5" s="1009"/>
      <c r="Q5" s="1009"/>
      <c r="R5" s="1009">
        <v>195.20249999999999</v>
      </c>
      <c r="S5" s="1009"/>
      <c r="T5" s="1009"/>
      <c r="U5" s="1009">
        <v>194.19203999999999</v>
      </c>
      <c r="V5" s="1009"/>
      <c r="W5" s="1009"/>
      <c r="X5" s="1009"/>
      <c r="Y5" s="1009"/>
      <c r="Z5" s="1009"/>
      <c r="AA5" s="1009"/>
      <c r="AB5" s="1010"/>
      <c r="AC5" s="589"/>
      <c r="AE5" s="589"/>
      <c r="AF5" s="589"/>
      <c r="AG5" s="589"/>
    </row>
    <row r="6" spans="2:33" s="907" customFormat="1" ht="17.45" customHeight="1">
      <c r="B6" s="1027"/>
      <c r="C6" s="1027"/>
      <c r="D6" s="1027"/>
      <c r="E6" s="1027"/>
      <c r="F6" s="1027"/>
      <c r="G6" s="1027"/>
      <c r="H6" s="1027"/>
      <c r="I6" s="1027"/>
      <c r="J6" s="1027"/>
      <c r="K6" s="1031"/>
      <c r="L6" s="1007">
        <v>43864</v>
      </c>
      <c r="M6" s="1011" t="s">
        <v>525</v>
      </c>
      <c r="N6" s="1009"/>
      <c r="O6" s="1009">
        <v>183.99557999999999</v>
      </c>
      <c r="P6" s="1009"/>
      <c r="Q6" s="1009"/>
      <c r="R6" s="1009">
        <v>188.7723</v>
      </c>
      <c r="S6" s="1009"/>
      <c r="T6" s="1009"/>
      <c r="U6" s="1009">
        <v>188.49671999999998</v>
      </c>
      <c r="V6" s="1009"/>
      <c r="W6" s="1009"/>
      <c r="X6" s="1009"/>
      <c r="Y6" s="1009"/>
      <c r="Z6" s="1009"/>
      <c r="AA6" s="1009"/>
      <c r="AB6" s="1010"/>
      <c r="AC6" s="589"/>
      <c r="AE6" s="589"/>
      <c r="AF6" s="589"/>
      <c r="AG6" s="589"/>
    </row>
    <row r="7" spans="2:33" s="907" customFormat="1" ht="12.75" customHeight="1">
      <c r="B7" s="1027"/>
      <c r="C7" s="1027"/>
      <c r="D7" s="1027"/>
      <c r="E7" s="1027"/>
      <c r="F7" s="1027"/>
      <c r="G7" s="1027"/>
      <c r="H7" s="1027"/>
      <c r="I7" s="1027"/>
      <c r="J7" s="1027"/>
      <c r="K7" s="1031"/>
      <c r="L7" s="1007">
        <v>43871</v>
      </c>
      <c r="M7" s="1011" t="s">
        <v>526</v>
      </c>
      <c r="N7" s="1009"/>
      <c r="O7" s="1009">
        <v>185.37348</v>
      </c>
      <c r="P7" s="1009"/>
      <c r="Q7" s="1009"/>
      <c r="R7" s="1009">
        <v>190.51764</v>
      </c>
      <c r="S7" s="1009"/>
      <c r="T7" s="1009"/>
      <c r="U7" s="1009">
        <v>190.33392000000001</v>
      </c>
      <c r="V7" s="1009"/>
      <c r="W7" s="1009"/>
      <c r="X7" s="1009"/>
      <c r="Y7" s="1009"/>
      <c r="Z7" s="1009"/>
      <c r="AA7" s="1009"/>
      <c r="AB7" s="1010"/>
      <c r="AC7" s="589"/>
      <c r="AE7" s="589"/>
      <c r="AF7" s="589"/>
      <c r="AG7" s="589"/>
    </row>
    <row r="8" spans="2:33" s="907" customFormat="1" ht="17.45" customHeight="1">
      <c r="B8" s="1027"/>
      <c r="C8" s="1027"/>
      <c r="D8" s="1027"/>
      <c r="E8" s="1027"/>
      <c r="F8" s="1027"/>
      <c r="G8" s="1027"/>
      <c r="H8" s="1027"/>
      <c r="I8" s="1027"/>
      <c r="J8" s="1027"/>
      <c r="K8" s="1031"/>
      <c r="L8" s="1007">
        <v>43879</v>
      </c>
      <c r="M8" s="1011" t="s">
        <v>531</v>
      </c>
      <c r="N8" s="1009"/>
      <c r="O8" s="1009">
        <v>190.33392000000001</v>
      </c>
      <c r="P8" s="1009"/>
      <c r="Q8" s="1009"/>
      <c r="R8" s="1009">
        <v>196.02923999999999</v>
      </c>
      <c r="S8" s="1009"/>
      <c r="T8" s="1009"/>
      <c r="U8" s="1009">
        <v>196.12109999999998</v>
      </c>
      <c r="V8" s="1009"/>
      <c r="W8" s="1009"/>
      <c r="X8" s="1009"/>
      <c r="Y8" s="1009"/>
      <c r="Z8" s="1009"/>
      <c r="AA8" s="1009"/>
      <c r="AB8" s="1010"/>
      <c r="AC8" s="589"/>
      <c r="AE8" s="589"/>
      <c r="AF8" s="589"/>
      <c r="AG8" s="589"/>
    </row>
    <row r="9" spans="2:33" s="907" customFormat="1" ht="17.45" customHeight="1">
      <c r="B9" s="1027"/>
      <c r="C9" s="1027"/>
      <c r="D9" s="1027"/>
      <c r="E9" s="1027"/>
      <c r="F9" s="1027"/>
      <c r="G9" s="1027"/>
      <c r="H9" s="1027"/>
      <c r="I9" s="1027"/>
      <c r="J9" s="1027"/>
      <c r="K9" s="1031"/>
      <c r="L9" s="1007">
        <v>43885</v>
      </c>
      <c r="M9" s="1011" t="s">
        <v>532</v>
      </c>
      <c r="N9" s="1009"/>
      <c r="O9" s="1009">
        <v>178.94327999999999</v>
      </c>
      <c r="P9" s="1009"/>
      <c r="Q9" s="1009"/>
      <c r="R9" s="1009">
        <v>185.55719999999999</v>
      </c>
      <c r="S9" s="1009"/>
      <c r="T9" s="1009"/>
      <c r="U9" s="1009">
        <v>186.93510000000001</v>
      </c>
      <c r="V9" s="1009"/>
      <c r="W9" s="1009"/>
      <c r="X9" s="1009"/>
      <c r="Y9" s="1009"/>
      <c r="Z9" s="1009"/>
      <c r="AA9" s="1009"/>
      <c r="AB9" s="1010"/>
      <c r="AC9" s="589"/>
      <c r="AE9" s="589"/>
      <c r="AF9" s="589"/>
      <c r="AG9" s="589"/>
    </row>
    <row r="10" spans="2:33" s="907" customFormat="1" ht="17.45" customHeight="1">
      <c r="B10" s="1027"/>
      <c r="C10" s="1027"/>
      <c r="D10" s="1027"/>
      <c r="E10" s="1027"/>
      <c r="F10" s="1027"/>
      <c r="G10" s="1027"/>
      <c r="H10" s="1027"/>
      <c r="I10" s="1027"/>
      <c r="J10" s="1027"/>
      <c r="K10" s="1031"/>
      <c r="L10" s="1007">
        <v>43893</v>
      </c>
      <c r="M10" s="1011" t="s">
        <v>533</v>
      </c>
      <c r="N10" s="1009"/>
      <c r="O10" s="1009">
        <v>173.98283999999998</v>
      </c>
      <c r="P10" s="1009"/>
      <c r="Q10" s="1009"/>
      <c r="R10" s="1009">
        <v>178.75955999999999</v>
      </c>
      <c r="S10" s="1009"/>
      <c r="T10" s="1009"/>
      <c r="U10" s="1009">
        <v>183.07697999999999</v>
      </c>
      <c r="V10" s="1009"/>
      <c r="W10" s="1009"/>
      <c r="X10" s="1009"/>
      <c r="Y10" s="1009"/>
      <c r="Z10" s="1009"/>
      <c r="AA10" s="1009"/>
      <c r="AB10" s="1010"/>
      <c r="AC10" s="589"/>
      <c r="AE10" s="589"/>
      <c r="AF10" s="589"/>
      <c r="AG10" s="589"/>
    </row>
    <row r="11" spans="2:33" s="907" customFormat="1" ht="17.45" customHeight="1">
      <c r="B11" s="1027"/>
      <c r="C11" s="1027"/>
      <c r="D11" s="1027"/>
      <c r="E11" s="1027"/>
      <c r="F11" s="1027"/>
      <c r="G11" s="1027"/>
      <c r="H11" s="1027"/>
      <c r="I11" s="1027"/>
      <c r="J11" s="1027"/>
      <c r="K11" s="1031"/>
      <c r="L11" s="1007">
        <v>43899</v>
      </c>
      <c r="M11" s="1011" t="s">
        <v>534</v>
      </c>
      <c r="N11" s="1009"/>
      <c r="O11" s="1009">
        <v>168.65495999999999</v>
      </c>
      <c r="P11" s="1009"/>
      <c r="Q11" s="1009"/>
      <c r="R11" s="1009">
        <v>173.61539999999999</v>
      </c>
      <c r="S11" s="1009"/>
      <c r="T11" s="1009"/>
      <c r="U11" s="1009">
        <v>177.93281999999999</v>
      </c>
      <c r="V11" s="1009"/>
      <c r="W11" s="1009"/>
      <c r="X11" s="1009"/>
      <c r="Y11" s="1009"/>
      <c r="Z11" s="1009"/>
      <c r="AA11" s="1009"/>
      <c r="AB11" s="1010"/>
      <c r="AC11" s="589"/>
      <c r="AE11" s="589"/>
      <c r="AF11" s="589"/>
      <c r="AG11" s="589"/>
    </row>
    <row r="12" spans="2:33" s="907" customFormat="1" ht="17.45" customHeight="1">
      <c r="B12" s="1027"/>
      <c r="C12" s="1027"/>
      <c r="D12" s="1027"/>
      <c r="E12" s="1027"/>
      <c r="F12" s="1027"/>
      <c r="G12" s="1027"/>
      <c r="H12" s="1027"/>
      <c r="I12" s="1027"/>
      <c r="J12" s="1027"/>
      <c r="K12" s="1031"/>
      <c r="L12" s="1007">
        <v>43906</v>
      </c>
      <c r="M12" s="1011" t="s">
        <v>536</v>
      </c>
      <c r="N12" s="1009"/>
      <c r="O12" s="1009">
        <v>161.85731999999999</v>
      </c>
      <c r="P12" s="1009"/>
      <c r="Q12" s="1009"/>
      <c r="R12" s="1009">
        <v>166.90961999999999</v>
      </c>
      <c r="S12" s="1009"/>
      <c r="T12" s="1009"/>
      <c r="U12" s="1009">
        <v>171.68634</v>
      </c>
      <c r="V12" s="1009"/>
      <c r="W12" s="1009"/>
      <c r="X12" s="1009"/>
      <c r="Y12" s="1009"/>
      <c r="Z12" s="1009"/>
      <c r="AA12" s="1009"/>
      <c r="AB12" s="1010"/>
      <c r="AC12" s="589"/>
      <c r="AE12" s="589"/>
      <c r="AF12" s="589"/>
      <c r="AG12" s="589"/>
    </row>
    <row r="13" spans="2:33" s="907" customFormat="1" ht="17.45" customHeight="1">
      <c r="B13" s="1027"/>
      <c r="C13" s="1027"/>
      <c r="D13" s="1027"/>
      <c r="E13" s="1027"/>
      <c r="F13" s="1027"/>
      <c r="G13" s="1027"/>
      <c r="H13" s="1027"/>
      <c r="I13" s="1027"/>
      <c r="J13" s="1027"/>
      <c r="K13" s="1031"/>
      <c r="L13" s="1007">
        <v>43910</v>
      </c>
      <c r="M13" s="1011" t="s">
        <v>537</v>
      </c>
      <c r="N13" s="1009"/>
      <c r="O13" s="1009">
        <v>176.27933999999999</v>
      </c>
      <c r="P13" s="1009"/>
      <c r="Q13" s="1009"/>
      <c r="R13" s="1009">
        <v>180.32118</v>
      </c>
      <c r="S13" s="1009"/>
      <c r="T13" s="1009"/>
      <c r="U13" s="1009">
        <v>183.81186</v>
      </c>
      <c r="V13" s="1009"/>
      <c r="W13" s="1009"/>
      <c r="X13" s="1009"/>
      <c r="Y13" s="1009"/>
      <c r="Z13" s="1009"/>
      <c r="AA13" s="1009"/>
      <c r="AB13" s="1010"/>
      <c r="AC13" s="589"/>
      <c r="AE13" s="589"/>
      <c r="AF13" s="589"/>
      <c r="AG13" s="589"/>
    </row>
    <row r="14" spans="2:33" s="907" customFormat="1" ht="17.45" customHeight="1">
      <c r="B14" s="1027"/>
      <c r="C14" s="1027"/>
      <c r="D14" s="1027"/>
      <c r="E14" s="1027"/>
      <c r="F14" s="1027"/>
      <c r="G14" s="1027"/>
      <c r="H14" s="1027"/>
      <c r="I14" s="1027"/>
      <c r="J14" s="1027"/>
      <c r="K14" s="1031"/>
      <c r="L14" s="1007">
        <v>43920</v>
      </c>
      <c r="M14" s="1011" t="s">
        <v>538</v>
      </c>
      <c r="N14" s="1009"/>
      <c r="O14" s="1009">
        <v>183.62814</v>
      </c>
      <c r="P14" s="1009"/>
      <c r="Q14" s="1009"/>
      <c r="R14" s="1009">
        <v>187.66997999999998</v>
      </c>
      <c r="S14" s="1009"/>
      <c r="T14" s="1009"/>
      <c r="U14" s="1009">
        <v>191.34438</v>
      </c>
      <c r="V14" s="1009"/>
      <c r="W14" s="1009"/>
      <c r="X14" s="1009"/>
      <c r="Y14" s="1009"/>
      <c r="Z14" s="1009"/>
      <c r="AA14" s="1009"/>
      <c r="AB14" s="1010"/>
      <c r="AC14" s="589"/>
      <c r="AE14" s="589"/>
      <c r="AF14" s="589"/>
      <c r="AG14" s="589"/>
    </row>
    <row r="15" spans="2:33" s="907" customFormat="1" ht="17.45" customHeight="1">
      <c r="B15" s="1027"/>
      <c r="C15" s="1027"/>
      <c r="D15" s="1027"/>
      <c r="E15" s="1027"/>
      <c r="F15" s="1027"/>
      <c r="G15" s="1027"/>
      <c r="H15" s="1027"/>
      <c r="I15" s="1027"/>
      <c r="J15" s="1027"/>
      <c r="K15" s="1031"/>
      <c r="L15" s="1007">
        <v>43927</v>
      </c>
      <c r="M15" s="1011" t="s">
        <v>548</v>
      </c>
      <c r="N15" s="1009">
        <v>0</v>
      </c>
      <c r="O15" s="1009">
        <v>179.95373999999998</v>
      </c>
      <c r="P15" s="1009"/>
      <c r="Q15" s="1009"/>
      <c r="R15" s="1009">
        <v>184.73045999999999</v>
      </c>
      <c r="S15" s="1009"/>
      <c r="T15" s="1009"/>
      <c r="U15" s="1009">
        <v>188.86416</v>
      </c>
      <c r="V15" s="1009"/>
      <c r="W15" s="1009"/>
      <c r="X15" s="1009"/>
      <c r="Y15" s="1009"/>
      <c r="Z15" s="1009"/>
      <c r="AA15" s="1009"/>
      <c r="AB15" s="1009">
        <v>194.83506</v>
      </c>
      <c r="AC15" s="589"/>
      <c r="AE15" s="589"/>
      <c r="AF15" s="589"/>
      <c r="AG15" s="589"/>
    </row>
    <row r="16" spans="2:33" s="907" customFormat="1" ht="17.45" customHeight="1">
      <c r="B16" s="1027"/>
      <c r="C16" s="1027"/>
      <c r="D16" s="1027"/>
      <c r="E16" s="1027"/>
      <c r="F16" s="1027"/>
      <c r="G16" s="1027"/>
      <c r="H16" s="1027"/>
      <c r="I16" s="1027"/>
      <c r="J16" s="1027"/>
      <c r="K16" s="1031"/>
      <c r="L16" s="1007">
        <v>43934</v>
      </c>
      <c r="M16" s="1011" t="s">
        <v>549</v>
      </c>
      <c r="N16" s="1009"/>
      <c r="O16" s="1009">
        <v>186.56765999999999</v>
      </c>
      <c r="P16" s="1009"/>
      <c r="Q16" s="1009"/>
      <c r="R16" s="1009">
        <v>190.15019999999998</v>
      </c>
      <c r="S16" s="1009"/>
      <c r="T16" s="1009"/>
      <c r="U16" s="1009">
        <v>193.54901999999998</v>
      </c>
      <c r="V16" s="1009"/>
      <c r="W16" s="1009"/>
      <c r="X16" s="1009"/>
      <c r="Y16" s="1009"/>
      <c r="Z16" s="1009"/>
      <c r="AA16" s="1009"/>
      <c r="AB16" s="1009">
        <v>199.24433999999999</v>
      </c>
      <c r="AC16" s="589"/>
      <c r="AE16" s="589"/>
      <c r="AF16" s="589"/>
      <c r="AG16" s="589"/>
    </row>
    <row r="17" spans="1:33" s="907" customFormat="1" ht="17.45" customHeight="1">
      <c r="B17" s="1027"/>
      <c r="C17" s="1027"/>
      <c r="D17" s="1027"/>
      <c r="E17" s="1027"/>
      <c r="F17" s="1027"/>
      <c r="G17" s="1027"/>
      <c r="H17" s="1027"/>
      <c r="I17" s="1027"/>
      <c r="J17" s="1027"/>
      <c r="K17" s="1031"/>
      <c r="L17" s="1007">
        <v>43941</v>
      </c>
      <c r="M17" s="1011" t="s">
        <v>550</v>
      </c>
      <c r="N17" s="1009"/>
      <c r="O17" s="1009">
        <v>186.84323999999998</v>
      </c>
      <c r="P17" s="1009"/>
      <c r="Q17" s="1009"/>
      <c r="R17" s="1009">
        <v>190.33392000000001</v>
      </c>
      <c r="S17" s="1009"/>
      <c r="T17" s="1009"/>
      <c r="U17" s="1009">
        <v>193.64087999999998</v>
      </c>
      <c r="V17" s="1009"/>
      <c r="W17" s="1009"/>
      <c r="X17" s="1009"/>
      <c r="Y17" s="1009"/>
      <c r="Z17" s="1009"/>
      <c r="AA17" s="1009"/>
      <c r="AB17" s="1009">
        <v>195.93737999999999</v>
      </c>
      <c r="AC17" s="589"/>
      <c r="AE17" s="589"/>
      <c r="AF17" s="589"/>
      <c r="AG17" s="589"/>
    </row>
    <row r="18" spans="1:33" s="907" customFormat="1" ht="17.45" customHeight="1">
      <c r="B18" s="1027"/>
      <c r="C18" s="1027"/>
      <c r="D18" s="1027"/>
      <c r="E18" s="1027"/>
      <c r="F18" s="1027"/>
      <c r="G18" s="1027"/>
      <c r="H18" s="1027"/>
      <c r="I18" s="1027"/>
      <c r="J18" s="1027"/>
      <c r="K18" s="1031"/>
      <c r="L18" s="1007">
        <v>43948</v>
      </c>
      <c r="M18" s="1011" t="s">
        <v>551</v>
      </c>
      <c r="N18" s="1009"/>
      <c r="O18" s="1009">
        <v>178.75955999999999</v>
      </c>
      <c r="P18" s="1009"/>
      <c r="Q18" s="1009"/>
      <c r="R18" s="1009">
        <v>182.43395999999998</v>
      </c>
      <c r="S18" s="1009"/>
      <c r="T18" s="1009"/>
      <c r="U18" s="1009">
        <v>186.20022</v>
      </c>
      <c r="V18" s="1009"/>
      <c r="W18" s="1009"/>
      <c r="X18" s="1009"/>
      <c r="Y18" s="1009"/>
      <c r="Z18" s="1009"/>
      <c r="AA18" s="1009"/>
      <c r="AB18" s="1009">
        <v>190.15019999999998</v>
      </c>
      <c r="AC18" s="589"/>
      <c r="AE18" s="589"/>
      <c r="AF18" s="589"/>
      <c r="AG18" s="589"/>
    </row>
    <row r="19" spans="1:33" s="907" customFormat="1" ht="17.45" customHeight="1">
      <c r="B19" s="1027"/>
      <c r="C19" s="1027"/>
      <c r="D19" s="1027"/>
      <c r="E19" s="1027"/>
      <c r="F19" s="1027"/>
      <c r="G19" s="1027"/>
      <c r="H19" s="1027"/>
      <c r="I19" s="1027"/>
      <c r="J19" s="1027"/>
      <c r="K19" s="1031"/>
      <c r="L19" s="1007">
        <v>43955</v>
      </c>
      <c r="M19" s="1011" t="s">
        <v>552</v>
      </c>
      <c r="N19" s="1009"/>
      <c r="O19" s="1009">
        <v>181.51535999999999</v>
      </c>
      <c r="P19" s="1009"/>
      <c r="Q19" s="1009"/>
      <c r="R19" s="1009">
        <v>185.37348</v>
      </c>
      <c r="S19" s="1009"/>
      <c r="T19" s="1009"/>
      <c r="U19" s="1009">
        <v>188.86416</v>
      </c>
      <c r="V19" s="1009"/>
      <c r="W19" s="1009"/>
      <c r="X19" s="1009"/>
      <c r="Y19" s="1009">
        <v>189.41532000000001</v>
      </c>
      <c r="Z19" s="1009"/>
      <c r="AA19" s="1009"/>
      <c r="AB19" s="1009">
        <v>194.92692</v>
      </c>
      <c r="AC19" s="589"/>
      <c r="AE19" s="589"/>
      <c r="AF19" s="589"/>
      <c r="AG19" s="589"/>
    </row>
    <row r="20" spans="1:33" s="907" customFormat="1" ht="17.45" customHeight="1">
      <c r="B20" s="1027"/>
      <c r="C20" s="1027"/>
      <c r="D20" s="1027"/>
      <c r="E20" s="1027"/>
      <c r="F20" s="1027"/>
      <c r="G20" s="1027"/>
      <c r="H20" s="1027"/>
      <c r="I20" s="1027"/>
      <c r="J20" s="1027"/>
      <c r="K20" s="1031"/>
      <c r="L20" s="1007">
        <v>43962</v>
      </c>
      <c r="M20" s="1011" t="s">
        <v>553</v>
      </c>
      <c r="N20" s="1009"/>
      <c r="O20" s="1009">
        <v>177.19793999999999</v>
      </c>
      <c r="P20" s="1009"/>
      <c r="Q20" s="1009"/>
      <c r="R20" s="1009">
        <v>181.51535999999999</v>
      </c>
      <c r="S20" s="1009"/>
      <c r="T20" s="1009"/>
      <c r="U20" s="1009">
        <v>185.46534</v>
      </c>
      <c r="V20" s="1009"/>
      <c r="W20" s="1009"/>
      <c r="X20" s="1009"/>
      <c r="Y20" s="1009">
        <v>187.48625999999999</v>
      </c>
      <c r="Z20" s="1009"/>
      <c r="AA20" s="1009"/>
      <c r="AB20" s="1009">
        <v>193.8246</v>
      </c>
      <c r="AC20" s="589"/>
      <c r="AE20" s="589"/>
      <c r="AF20" s="589"/>
      <c r="AG20" s="589"/>
    </row>
    <row r="21" spans="1:33" s="907" customFormat="1" ht="17.45" customHeight="1">
      <c r="B21" s="1032" t="s">
        <v>493</v>
      </c>
      <c r="C21" s="1027"/>
      <c r="D21" s="1027"/>
      <c r="E21" s="1027"/>
      <c r="F21" s="1027"/>
      <c r="G21" s="1027"/>
      <c r="H21" s="1027"/>
      <c r="I21" s="1027"/>
      <c r="J21" s="1027"/>
      <c r="K21" s="1031"/>
      <c r="L21" s="1007">
        <v>43969</v>
      </c>
      <c r="M21" s="1011" t="s">
        <v>554</v>
      </c>
      <c r="N21" s="1009"/>
      <c r="O21" s="1009">
        <v>166.35846000000001</v>
      </c>
      <c r="P21" s="1009"/>
      <c r="Q21" s="1009"/>
      <c r="R21" s="1009">
        <v>170.67588000000001</v>
      </c>
      <c r="S21" s="1009"/>
      <c r="T21" s="1009"/>
      <c r="U21" s="1009">
        <v>174.71771999999999</v>
      </c>
      <c r="V21" s="1009"/>
      <c r="W21" s="1009"/>
      <c r="X21" s="1009"/>
      <c r="Y21" s="1009">
        <v>178.11653999999999</v>
      </c>
      <c r="Z21" s="1009"/>
      <c r="AA21" s="1009"/>
      <c r="AB21" s="1009">
        <v>184.91417999999999</v>
      </c>
      <c r="AC21" s="589"/>
      <c r="AE21" s="589"/>
      <c r="AF21" s="589"/>
      <c r="AG21" s="589"/>
    </row>
    <row r="22" spans="1:33" s="907" customFormat="1">
      <c r="B22" s="1027"/>
      <c r="C22" s="1027"/>
      <c r="D22" s="1027"/>
      <c r="E22" s="1027"/>
      <c r="F22" s="1027"/>
      <c r="G22" s="1027"/>
      <c r="H22" s="1027"/>
      <c r="I22" s="1027"/>
      <c r="J22" s="1027"/>
      <c r="K22" s="1031"/>
      <c r="L22" s="1007">
        <v>43977</v>
      </c>
      <c r="M22" s="1011" t="s">
        <v>590</v>
      </c>
      <c r="N22" s="1009"/>
      <c r="O22" s="1009">
        <v>166.81775999999999</v>
      </c>
      <c r="P22" s="1009"/>
      <c r="Q22" s="1009"/>
      <c r="R22" s="1009">
        <v>171.22703999999999</v>
      </c>
      <c r="S22" s="1009"/>
      <c r="T22" s="1009"/>
      <c r="U22" s="1009">
        <v>175.36073999999999</v>
      </c>
      <c r="V22" s="1009"/>
      <c r="W22" s="1009"/>
      <c r="X22" s="1009"/>
      <c r="Y22" s="1009">
        <v>179.03513999999998</v>
      </c>
      <c r="Z22" s="1009"/>
      <c r="AA22" s="1009"/>
      <c r="AB22" s="1009">
        <v>185.92463999999998</v>
      </c>
      <c r="AC22" s="589"/>
      <c r="AE22" s="589"/>
      <c r="AF22" s="589"/>
      <c r="AG22" s="589"/>
    </row>
    <row r="23" spans="1:33" s="907" customFormat="1">
      <c r="C23" s="1027"/>
      <c r="D23" s="1027"/>
      <c r="E23" s="1027"/>
      <c r="F23" s="1027"/>
      <c r="G23" s="1027"/>
      <c r="H23" s="1027"/>
      <c r="I23" s="1027"/>
      <c r="J23" s="1027"/>
      <c r="K23" s="1031"/>
      <c r="L23" s="1007">
        <v>43983</v>
      </c>
      <c r="M23" s="1011" t="s">
        <v>591</v>
      </c>
      <c r="N23" s="1009"/>
      <c r="O23" s="1009">
        <v>172.42122000000001</v>
      </c>
      <c r="P23" s="1009"/>
      <c r="Q23" s="1009"/>
      <c r="R23" s="1009">
        <v>176.92236</v>
      </c>
      <c r="S23" s="1009"/>
      <c r="T23" s="1009"/>
      <c r="U23" s="1009">
        <v>180.87234000000001</v>
      </c>
      <c r="V23" s="1009"/>
      <c r="W23" s="1009"/>
      <c r="X23" s="1009"/>
      <c r="Y23" s="1009">
        <v>184.27115999999998</v>
      </c>
      <c r="Z23" s="1009"/>
      <c r="AA23" s="1009"/>
      <c r="AB23" s="1009">
        <v>190.70135999999999</v>
      </c>
      <c r="AC23" s="1010"/>
      <c r="AE23" s="589"/>
      <c r="AF23" s="589"/>
      <c r="AG23" s="589"/>
    </row>
    <row r="24" spans="1:33" ht="12.75" customHeight="1">
      <c r="B24" s="1027"/>
      <c r="C24" s="1027"/>
      <c r="D24" s="1027"/>
      <c r="E24" s="1027"/>
      <c r="F24" s="1027"/>
      <c r="G24" s="1027"/>
      <c r="H24" s="1027"/>
      <c r="I24" s="1027"/>
      <c r="J24" s="1027"/>
      <c r="K24" s="1031"/>
      <c r="L24" s="1007">
        <v>43990</v>
      </c>
      <c r="M24" s="1011" t="s">
        <v>594</v>
      </c>
      <c r="N24" s="1009"/>
      <c r="O24" s="1009">
        <v>172.14563999999999</v>
      </c>
      <c r="P24" s="1009"/>
      <c r="Q24" s="1009"/>
      <c r="R24" s="1009">
        <v>176.64678000000001</v>
      </c>
      <c r="S24" s="1009"/>
      <c r="T24" s="1009"/>
      <c r="U24" s="1009">
        <v>180.87234000000001</v>
      </c>
      <c r="V24" s="1009"/>
      <c r="W24" s="1009"/>
      <c r="X24" s="1009"/>
      <c r="Y24" s="1009">
        <v>185.64905999999999</v>
      </c>
      <c r="Z24" s="1009"/>
      <c r="AA24" s="1009"/>
      <c r="AB24" s="1009">
        <v>192.90600000000001</v>
      </c>
      <c r="AC24" s="589"/>
    </row>
    <row r="25" spans="1:33" s="907" customFormat="1" ht="12" customHeight="1">
      <c r="B25" s="1027"/>
      <c r="C25" s="1027"/>
      <c r="D25" s="1027"/>
      <c r="E25" s="1027"/>
      <c r="F25" s="1027"/>
      <c r="G25" s="1027"/>
      <c r="H25" s="1027"/>
      <c r="I25" s="1027"/>
      <c r="J25" s="1027"/>
      <c r="K25" s="1031"/>
      <c r="L25" s="1007">
        <v>43997</v>
      </c>
      <c r="M25" s="1011" t="s">
        <v>595</v>
      </c>
      <c r="N25" s="1009"/>
      <c r="O25" s="1009">
        <v>166.90961999999999</v>
      </c>
      <c r="P25" s="1009"/>
      <c r="Q25" s="1009"/>
      <c r="R25" s="1009">
        <v>171.59448</v>
      </c>
      <c r="S25" s="1009"/>
      <c r="T25" s="1009"/>
      <c r="U25" s="1009">
        <v>176.37119999999999</v>
      </c>
      <c r="V25" s="1009"/>
      <c r="W25" s="1009"/>
      <c r="X25" s="1009"/>
      <c r="Y25" s="1009">
        <v>181.05606</v>
      </c>
      <c r="Z25" s="1009"/>
      <c r="AA25" s="1009"/>
      <c r="AB25" s="1009">
        <v>188.68044</v>
      </c>
      <c r="AC25" s="589"/>
      <c r="AE25" s="589"/>
      <c r="AF25" s="589"/>
      <c r="AG25" s="589"/>
    </row>
    <row r="26" spans="1:33" s="907" customFormat="1" ht="12" customHeight="1">
      <c r="B26" s="1027"/>
      <c r="C26" s="1027"/>
      <c r="D26" s="1027"/>
      <c r="E26" s="1027"/>
      <c r="F26" s="1027"/>
      <c r="G26" s="1027"/>
      <c r="H26" s="1027"/>
      <c r="I26" s="1027"/>
      <c r="J26" s="1027"/>
      <c r="K26" s="1031"/>
      <c r="L26" s="1007">
        <v>44004</v>
      </c>
      <c r="M26" s="1011" t="s">
        <v>605</v>
      </c>
      <c r="N26" s="1009"/>
      <c r="O26" s="1009">
        <v>161.58174</v>
      </c>
      <c r="P26" s="1009"/>
      <c r="Q26" s="1009"/>
      <c r="R26" s="1009">
        <v>166.45032</v>
      </c>
      <c r="S26" s="1009"/>
      <c r="T26" s="1009"/>
      <c r="U26" s="1009">
        <v>171.22703999999999</v>
      </c>
      <c r="V26" s="1009"/>
      <c r="W26" s="1009"/>
      <c r="X26" s="1009"/>
      <c r="Y26" s="1009">
        <v>176.09562</v>
      </c>
      <c r="Z26" s="1009"/>
      <c r="AA26" s="1009"/>
      <c r="AB26" s="1009">
        <v>183.99557999999999</v>
      </c>
      <c r="AC26" s="589"/>
      <c r="AE26" s="589"/>
      <c r="AF26" s="589"/>
      <c r="AG26" s="589"/>
    </row>
    <row r="27" spans="1:33" s="907" customFormat="1" ht="12" customHeight="1">
      <c r="A27" s="1030"/>
      <c r="B27" s="1027"/>
      <c r="C27" s="1027"/>
      <c r="D27" s="1027"/>
      <c r="E27" s="1027"/>
      <c r="F27" s="1027"/>
      <c r="G27" s="1027"/>
      <c r="H27" s="1027"/>
      <c r="I27" s="1027"/>
      <c r="J27" s="1027"/>
      <c r="K27" s="1031"/>
      <c r="L27" s="1007">
        <v>44011</v>
      </c>
      <c r="M27" s="1011" t="s">
        <v>606</v>
      </c>
      <c r="N27" s="1009"/>
      <c r="O27" s="1009">
        <v>160.38756000000001</v>
      </c>
      <c r="P27" s="1009"/>
      <c r="Q27" s="1009"/>
      <c r="R27" s="1009">
        <v>165.07241999999999</v>
      </c>
      <c r="S27" s="1009"/>
      <c r="T27" s="1009"/>
      <c r="U27" s="1009">
        <v>169.75728000000001</v>
      </c>
      <c r="V27" s="1009"/>
      <c r="W27" s="1009"/>
      <c r="X27" s="1009"/>
      <c r="Y27" s="1009">
        <v>174.62585999999999</v>
      </c>
      <c r="Z27" s="1009"/>
      <c r="AA27" s="1009"/>
      <c r="AB27" s="1009">
        <v>183.07697999999999</v>
      </c>
      <c r="AC27" s="589"/>
      <c r="AE27" s="589"/>
      <c r="AF27" s="589"/>
      <c r="AG27" s="589"/>
    </row>
    <row r="28" spans="1:33" s="907" customFormat="1" ht="12" customHeight="1">
      <c r="B28" s="1027"/>
      <c r="C28" s="1027"/>
      <c r="D28" s="1027"/>
      <c r="E28" s="1027"/>
      <c r="F28" s="1027"/>
      <c r="G28" s="1027"/>
      <c r="H28" s="1027"/>
      <c r="I28" s="1027"/>
      <c r="J28" s="1027"/>
      <c r="K28" s="1031"/>
      <c r="L28" s="1007">
        <v>44018</v>
      </c>
      <c r="M28" s="1011" t="s">
        <v>607</v>
      </c>
      <c r="N28" s="1009"/>
      <c r="O28" s="1009">
        <v>161.12243999999998</v>
      </c>
      <c r="P28" s="1009"/>
      <c r="Q28" s="1009"/>
      <c r="R28" s="1009">
        <v>165.89915999999999</v>
      </c>
      <c r="S28" s="1009"/>
      <c r="T28" s="1009"/>
      <c r="U28" s="1009">
        <v>170.21657999999999</v>
      </c>
      <c r="V28" s="1009"/>
      <c r="W28" s="1009"/>
      <c r="X28" s="1009"/>
      <c r="Y28" s="1009">
        <v>174.90144000000001</v>
      </c>
      <c r="Z28" s="1009"/>
      <c r="AA28" s="1009"/>
      <c r="AB28" s="1009">
        <v>182.8014</v>
      </c>
      <c r="AC28" s="589"/>
      <c r="AE28" s="589"/>
      <c r="AF28" s="589"/>
      <c r="AG28" s="589"/>
    </row>
    <row r="29" spans="1:33" s="907" customFormat="1" ht="12" customHeight="1">
      <c r="B29" s="1027"/>
      <c r="C29" s="1027"/>
      <c r="D29" s="1027"/>
      <c r="E29" s="1027"/>
      <c r="F29" s="1027"/>
      <c r="G29" s="1027"/>
      <c r="H29" s="1027"/>
      <c r="I29" s="1027"/>
      <c r="J29" s="1027"/>
      <c r="K29" s="1031"/>
      <c r="L29" s="1007">
        <v>44025</v>
      </c>
      <c r="M29" s="1011" t="s">
        <v>608</v>
      </c>
      <c r="N29" s="1009"/>
      <c r="O29" s="1009">
        <v>164.98056</v>
      </c>
      <c r="P29" s="1009"/>
      <c r="Q29" s="1009"/>
      <c r="R29" s="1009">
        <v>169.29798</v>
      </c>
      <c r="S29" s="1009"/>
      <c r="T29" s="1009"/>
      <c r="U29" s="1009">
        <v>173.61539999999999</v>
      </c>
      <c r="V29" s="1009"/>
      <c r="W29" s="1009"/>
      <c r="X29" s="1009"/>
      <c r="Y29" s="1009">
        <v>178.30026000000001</v>
      </c>
      <c r="Z29" s="1009"/>
      <c r="AA29" s="1009"/>
      <c r="AB29" s="1009">
        <v>186.47579999999999</v>
      </c>
      <c r="AC29" s="589"/>
      <c r="AE29" s="589"/>
      <c r="AF29" s="589"/>
      <c r="AG29" s="589"/>
    </row>
    <row r="30" spans="1:33" s="907" customFormat="1" ht="12" customHeight="1">
      <c r="B30" s="1027"/>
      <c r="C30" s="1027"/>
      <c r="D30" s="1027"/>
      <c r="E30" s="1027"/>
      <c r="F30" s="1027"/>
      <c r="G30" s="1027"/>
      <c r="H30" s="1027"/>
      <c r="I30" s="1027"/>
      <c r="J30" s="1027"/>
      <c r="K30" s="1031"/>
      <c r="L30" s="1007">
        <v>44032</v>
      </c>
      <c r="M30" s="1011" t="s">
        <v>617</v>
      </c>
      <c r="N30" s="1009"/>
      <c r="O30" s="1009">
        <v>159.8364</v>
      </c>
      <c r="P30" s="1009"/>
      <c r="Q30" s="1009"/>
      <c r="R30" s="1009">
        <v>164.06196</v>
      </c>
      <c r="S30" s="1009"/>
      <c r="T30" s="1009"/>
      <c r="U30" s="1009">
        <v>168.28752</v>
      </c>
      <c r="V30" s="1009"/>
      <c r="W30" s="1009"/>
      <c r="X30" s="1009"/>
      <c r="Y30" s="1009">
        <v>172.97237999999999</v>
      </c>
      <c r="Z30" s="1009"/>
      <c r="AA30" s="1009"/>
      <c r="AB30" s="1009">
        <v>181.51535999999999</v>
      </c>
      <c r="AC30" s="589"/>
      <c r="AE30" s="589"/>
      <c r="AF30" s="589"/>
      <c r="AG30" s="589"/>
    </row>
    <row r="31" spans="1:33" s="907" customFormat="1" ht="12" customHeight="1">
      <c r="B31" s="1027"/>
      <c r="C31" s="1027"/>
      <c r="D31" s="1027"/>
      <c r="E31" s="1027"/>
      <c r="F31" s="1027"/>
      <c r="G31" s="1027"/>
      <c r="H31" s="1027"/>
      <c r="I31" s="1027"/>
      <c r="J31" s="1027"/>
      <c r="K31" s="1031"/>
      <c r="L31" s="1007">
        <v>44039</v>
      </c>
      <c r="M31" s="1011" t="s">
        <v>618</v>
      </c>
      <c r="N31" s="1009"/>
      <c r="O31" s="1009">
        <v>161.48988</v>
      </c>
      <c r="P31" s="1009"/>
      <c r="Q31" s="1009"/>
      <c r="R31" s="1009">
        <v>165.53172000000001</v>
      </c>
      <c r="S31" s="1009"/>
      <c r="T31" s="1009"/>
      <c r="U31" s="1009">
        <v>169.66541999999998</v>
      </c>
      <c r="V31" s="1009"/>
      <c r="W31" s="1009"/>
      <c r="X31" s="1009"/>
      <c r="Y31" s="1009">
        <v>174.71771999999999</v>
      </c>
      <c r="Z31" s="1009"/>
      <c r="AA31" s="1009"/>
      <c r="AB31" s="1009">
        <v>182.89326</v>
      </c>
      <c r="AC31" s="589"/>
      <c r="AE31" s="589"/>
      <c r="AF31" s="589"/>
      <c r="AG31" s="589"/>
    </row>
    <row r="32" spans="1:33" s="907" customFormat="1" ht="12" customHeight="1">
      <c r="B32" s="1027"/>
      <c r="C32" s="1027"/>
      <c r="D32" s="1027"/>
      <c r="E32" s="1027"/>
      <c r="F32" s="1027"/>
      <c r="G32" s="1027"/>
      <c r="H32" s="1027"/>
      <c r="I32" s="1027"/>
      <c r="J32" s="1027"/>
      <c r="K32" s="1031"/>
      <c r="L32" s="1007">
        <v>44046</v>
      </c>
      <c r="M32" s="1011" t="s">
        <v>619</v>
      </c>
      <c r="N32" s="1009"/>
      <c r="O32" s="1009">
        <v>158.27477999999999</v>
      </c>
      <c r="P32" s="1009"/>
      <c r="Q32" s="1009"/>
      <c r="R32" s="1009">
        <v>162.22476</v>
      </c>
      <c r="S32" s="1009"/>
      <c r="T32" s="1009"/>
      <c r="U32" s="1009">
        <v>166.26659999999998</v>
      </c>
      <c r="V32" s="1009"/>
      <c r="W32" s="1009"/>
      <c r="X32" s="1009"/>
      <c r="Y32" s="1009">
        <v>171.68634</v>
      </c>
      <c r="Z32" s="1009"/>
      <c r="AA32" s="1009">
        <v>175.08516</v>
      </c>
      <c r="AB32" s="1009">
        <v>179.77001999999999</v>
      </c>
      <c r="AC32" s="589"/>
      <c r="AE32" s="589"/>
      <c r="AF32" s="589"/>
      <c r="AG32" s="589"/>
    </row>
    <row r="33" spans="2:33" s="907" customFormat="1" ht="12" customHeight="1">
      <c r="B33" s="1027"/>
      <c r="C33" s="1027"/>
      <c r="D33" s="1027"/>
      <c r="E33" s="1027"/>
      <c r="F33" s="1027"/>
      <c r="G33" s="1027"/>
      <c r="H33" s="1027"/>
      <c r="I33" s="1027"/>
      <c r="J33" s="1027"/>
      <c r="K33" s="1031"/>
      <c r="L33" s="1007">
        <v>44053</v>
      </c>
      <c r="M33" s="1011" t="s">
        <v>622</v>
      </c>
      <c r="N33" s="1009"/>
      <c r="O33" s="1009">
        <v>152.12016</v>
      </c>
      <c r="P33" s="1009"/>
      <c r="Q33" s="1009"/>
      <c r="R33" s="1009">
        <v>156.52943999999999</v>
      </c>
      <c r="S33" s="1009"/>
      <c r="T33" s="1009"/>
      <c r="U33" s="1009">
        <v>160.57128</v>
      </c>
      <c r="V33" s="1009"/>
      <c r="W33" s="1009"/>
      <c r="X33" s="1009"/>
      <c r="Y33" s="1009">
        <v>166.7259</v>
      </c>
      <c r="Z33" s="1009"/>
      <c r="AA33" s="1009">
        <v>170.21657999999999</v>
      </c>
      <c r="AB33" s="1009">
        <v>174.90144000000001</v>
      </c>
      <c r="AC33" s="1010"/>
      <c r="AE33" s="589"/>
      <c r="AF33" s="589"/>
      <c r="AG33" s="589"/>
    </row>
    <row r="34" spans="2:33" ht="12" customHeight="1">
      <c r="B34" s="1027"/>
      <c r="C34" s="1027"/>
      <c r="D34" s="1027"/>
      <c r="E34" s="1027"/>
      <c r="F34" s="1027"/>
      <c r="G34" s="1027"/>
      <c r="H34" s="1027"/>
      <c r="I34" s="1027"/>
      <c r="J34" s="1027"/>
      <c r="K34" s="1031"/>
      <c r="L34" s="1007">
        <v>44060</v>
      </c>
      <c r="M34" s="1011" t="s">
        <v>627</v>
      </c>
      <c r="N34" s="1009"/>
      <c r="O34" s="1009">
        <v>160.66314</v>
      </c>
      <c r="P34" s="1009"/>
      <c r="Q34" s="1009"/>
      <c r="R34" s="1009">
        <v>164.79684</v>
      </c>
      <c r="S34" s="1009"/>
      <c r="T34" s="1009"/>
      <c r="U34" s="1009">
        <v>168.28752</v>
      </c>
      <c r="V34" s="1009"/>
      <c r="W34" s="1009"/>
      <c r="X34" s="1009"/>
      <c r="Y34" s="1009">
        <v>174.07470000000001</v>
      </c>
      <c r="Z34" s="1009"/>
      <c r="AA34" s="1009">
        <v>177.38165999999998</v>
      </c>
      <c r="AB34" s="1009">
        <v>181.97466</v>
      </c>
    </row>
    <row r="35" spans="2:33" ht="12" customHeight="1">
      <c r="B35" s="1027"/>
      <c r="C35" s="1027"/>
      <c r="D35" s="1027"/>
      <c r="E35" s="1027"/>
      <c r="F35" s="1027"/>
      <c r="G35" s="1027"/>
      <c r="H35" s="1027"/>
      <c r="I35" s="1027"/>
      <c r="J35" s="1027"/>
      <c r="K35" s="1031"/>
      <c r="L35" s="1007">
        <v>44067</v>
      </c>
      <c r="M35" s="1011" t="s">
        <v>628</v>
      </c>
      <c r="N35" s="1009"/>
      <c r="O35" s="1009">
        <v>159.92825999999999</v>
      </c>
      <c r="P35" s="1009"/>
      <c r="Q35" s="1009"/>
      <c r="R35" s="1009">
        <v>163.9701</v>
      </c>
      <c r="S35" s="1009"/>
      <c r="T35" s="1009"/>
      <c r="U35" s="1009">
        <v>167.73635999999999</v>
      </c>
      <c r="V35" s="1009"/>
      <c r="W35" s="1009"/>
      <c r="X35" s="1009"/>
      <c r="Y35" s="1009">
        <v>173.52354</v>
      </c>
      <c r="Z35" s="1009"/>
      <c r="AA35" s="1009">
        <v>176.46305999999998</v>
      </c>
      <c r="AB35" s="1009">
        <v>180.68861999999999</v>
      </c>
    </row>
    <row r="36" spans="2:33" ht="12" customHeight="1">
      <c r="B36" s="1027"/>
      <c r="C36" s="1027"/>
      <c r="D36" s="1027"/>
      <c r="E36" s="1027"/>
      <c r="F36" s="1027"/>
      <c r="G36" s="1027"/>
      <c r="H36" s="1027"/>
      <c r="I36" s="1027"/>
      <c r="J36" s="1027"/>
      <c r="K36" s="1031"/>
      <c r="L36" s="1007">
        <v>44074</v>
      </c>
      <c r="M36" s="1011" t="s">
        <v>629</v>
      </c>
      <c r="N36" s="1009"/>
      <c r="O36" s="1009">
        <v>172.88051999999999</v>
      </c>
      <c r="P36" s="1009"/>
      <c r="Q36" s="1009"/>
      <c r="R36" s="1009">
        <v>174.62585999999999</v>
      </c>
      <c r="S36" s="1009"/>
      <c r="T36" s="1009"/>
      <c r="U36" s="1009">
        <v>178.6677</v>
      </c>
      <c r="V36" s="1009"/>
      <c r="W36" s="1009"/>
      <c r="X36" s="1009"/>
      <c r="Y36" s="1009">
        <v>183.81186</v>
      </c>
      <c r="Z36" s="1009"/>
      <c r="AA36" s="1009">
        <v>186.47579999999999</v>
      </c>
      <c r="AB36" s="1009">
        <v>190.6095</v>
      </c>
    </row>
    <row r="37" spans="2:33" ht="12" customHeight="1">
      <c r="B37" s="1027"/>
      <c r="C37" s="1027"/>
      <c r="D37" s="1027"/>
      <c r="E37" s="1027"/>
      <c r="F37" s="1027"/>
      <c r="G37" s="1027"/>
      <c r="H37" s="1027"/>
      <c r="I37" s="1027"/>
      <c r="J37" s="1027"/>
      <c r="K37" s="1031"/>
      <c r="L37" s="1007">
        <v>44082</v>
      </c>
      <c r="M37" s="1011" t="s">
        <v>630</v>
      </c>
      <c r="N37" s="1009"/>
      <c r="O37" s="1009">
        <v>173.24796000000001</v>
      </c>
      <c r="P37" s="1009"/>
      <c r="Q37" s="1009"/>
      <c r="R37" s="1009">
        <v>172.51308</v>
      </c>
      <c r="S37" s="1009"/>
      <c r="T37" s="1009"/>
      <c r="U37" s="1009">
        <v>176.55491999999998</v>
      </c>
      <c r="V37" s="1009"/>
      <c r="W37" s="1009"/>
      <c r="X37" s="1009"/>
      <c r="Y37" s="1009">
        <v>181.69907999999998</v>
      </c>
      <c r="Z37" s="1009"/>
      <c r="AA37" s="1009">
        <v>184.45488</v>
      </c>
      <c r="AB37" s="1009">
        <v>188.58858000000001</v>
      </c>
    </row>
    <row r="38" spans="2:33" ht="12" customHeight="1">
      <c r="B38" s="1027"/>
      <c r="C38" s="1027"/>
      <c r="D38" s="1027"/>
      <c r="E38" s="1027"/>
      <c r="F38" s="1027"/>
      <c r="G38" s="1027"/>
      <c r="H38" s="1027"/>
      <c r="I38" s="1027"/>
      <c r="J38" s="1027"/>
      <c r="K38" s="1031"/>
      <c r="L38" s="1007">
        <v>44088</v>
      </c>
      <c r="M38" s="1012" t="s">
        <v>634</v>
      </c>
      <c r="N38" s="1009"/>
      <c r="O38" s="1009"/>
      <c r="P38" s="1009"/>
      <c r="Q38" s="1009"/>
      <c r="R38" s="1009">
        <v>173.98283999999998</v>
      </c>
      <c r="S38" s="1009"/>
      <c r="T38" s="1009"/>
      <c r="U38" s="1009">
        <v>178.02467999999999</v>
      </c>
      <c r="V38" s="1009"/>
      <c r="W38" s="1009"/>
      <c r="X38" s="1009"/>
      <c r="Y38" s="1009">
        <v>183.07697999999999</v>
      </c>
      <c r="Z38" s="1009"/>
      <c r="AA38" s="1009">
        <v>185.74091999999999</v>
      </c>
      <c r="AB38" s="1009">
        <v>189.87461999999999</v>
      </c>
      <c r="AC38" s="1009"/>
    </row>
    <row r="39" spans="2:33" ht="12" customHeight="1">
      <c r="B39" s="1027"/>
      <c r="C39" s="1027"/>
      <c r="D39" s="1027"/>
      <c r="E39" s="1027"/>
      <c r="F39" s="1027"/>
      <c r="G39" s="1027"/>
      <c r="H39" s="1027"/>
      <c r="I39" s="1027"/>
      <c r="J39" s="1027"/>
      <c r="K39" s="1031"/>
      <c r="L39" s="1007">
        <v>44095</v>
      </c>
      <c r="M39" s="1012" t="s">
        <v>635</v>
      </c>
      <c r="N39" s="1009"/>
      <c r="O39" s="1009"/>
      <c r="P39" s="1009"/>
      <c r="Q39" s="1009"/>
      <c r="R39" s="1009">
        <v>179.03513999999998</v>
      </c>
      <c r="S39" s="1009"/>
      <c r="T39" s="1009"/>
      <c r="U39" s="1009">
        <v>183.07697999999999</v>
      </c>
      <c r="V39" s="1009"/>
      <c r="W39" s="1009"/>
      <c r="X39" s="1009"/>
      <c r="Y39" s="1009">
        <v>187.94556</v>
      </c>
      <c r="Z39" s="1009"/>
      <c r="AA39" s="1009">
        <v>190.70135999999999</v>
      </c>
      <c r="AB39" s="1009">
        <v>194.65134</v>
      </c>
      <c r="AC39" s="1009">
        <v>197.499</v>
      </c>
      <c r="AD39" s="1028"/>
    </row>
    <row r="40" spans="2:33" ht="12" customHeight="1">
      <c r="B40" s="1027"/>
      <c r="C40" s="1027"/>
      <c r="D40" s="1027"/>
      <c r="E40" s="1027"/>
      <c r="F40" s="1027"/>
      <c r="G40" s="1027"/>
      <c r="H40" s="1027"/>
      <c r="I40" s="1027"/>
      <c r="J40" s="1027"/>
      <c r="K40" s="1031"/>
      <c r="L40" s="1007">
        <v>44102</v>
      </c>
      <c r="M40" s="1013" t="s">
        <v>636</v>
      </c>
      <c r="N40" s="1009"/>
      <c r="O40" s="1009"/>
      <c r="P40" s="1009"/>
      <c r="Q40" s="1009"/>
      <c r="R40" s="1009">
        <v>177.38165999999998</v>
      </c>
      <c r="S40" s="1009"/>
      <c r="T40" s="1009"/>
      <c r="U40" s="1009">
        <v>181.05606</v>
      </c>
      <c r="V40" s="1009"/>
      <c r="W40" s="1009"/>
      <c r="X40" s="1009"/>
      <c r="Y40" s="1009">
        <v>186.38394</v>
      </c>
      <c r="Z40" s="1009"/>
      <c r="AA40" s="1009">
        <v>189.23159999999999</v>
      </c>
      <c r="AB40" s="1009">
        <v>193.36529999999999</v>
      </c>
      <c r="AC40" s="1009">
        <v>196.21295999999998</v>
      </c>
      <c r="AD40" s="1028"/>
    </row>
    <row r="41" spans="2:33" ht="12" customHeight="1">
      <c r="B41" s="1027"/>
      <c r="C41" s="1027"/>
      <c r="D41" s="1027"/>
      <c r="E41" s="1027"/>
      <c r="F41" s="1027"/>
      <c r="G41" s="1027"/>
      <c r="H41" s="1027"/>
      <c r="I41" s="1027"/>
      <c r="J41" s="1027"/>
      <c r="K41" s="1031"/>
      <c r="L41" s="1007">
        <v>44109</v>
      </c>
      <c r="M41" s="1011" t="s">
        <v>637</v>
      </c>
      <c r="N41" s="1009"/>
      <c r="O41" s="1009"/>
      <c r="P41" s="1009"/>
      <c r="Q41" s="1009"/>
      <c r="R41" s="1009">
        <v>192.63041999999999</v>
      </c>
      <c r="S41" s="1009"/>
      <c r="T41" s="1009"/>
      <c r="U41" s="1009">
        <v>195.84551999999999</v>
      </c>
      <c r="V41" s="1009"/>
      <c r="W41" s="1009"/>
      <c r="X41" s="1009"/>
      <c r="Y41" s="1009">
        <v>200.07107999999999</v>
      </c>
      <c r="Z41" s="1009"/>
      <c r="AA41" s="1009">
        <v>202.27572000000001</v>
      </c>
      <c r="AB41" s="1009">
        <v>205.67454000000001</v>
      </c>
      <c r="AC41" s="1009">
        <v>208.15475999999998</v>
      </c>
      <c r="AD41" s="1028"/>
    </row>
    <row r="42" spans="2:33" ht="12" customHeight="1">
      <c r="B42" s="1027"/>
      <c r="C42" s="1027"/>
      <c r="D42" s="1027"/>
      <c r="E42" s="1027"/>
      <c r="F42" s="1027"/>
      <c r="G42" s="1027"/>
      <c r="H42" s="1027"/>
      <c r="I42" s="1027"/>
      <c r="J42" s="1027"/>
      <c r="K42" s="1031"/>
      <c r="L42" s="1007">
        <v>44116</v>
      </c>
      <c r="M42" s="1011" t="s">
        <v>638</v>
      </c>
      <c r="N42" s="1009"/>
      <c r="O42" s="1009"/>
      <c r="P42" s="1009"/>
      <c r="Q42" s="1009"/>
      <c r="R42" s="1009">
        <v>194.92692</v>
      </c>
      <c r="S42" s="1009"/>
      <c r="T42" s="1009"/>
      <c r="U42" s="1009">
        <v>198.23388</v>
      </c>
      <c r="V42" s="1009"/>
      <c r="W42" s="1009"/>
      <c r="X42" s="1009"/>
      <c r="Y42" s="1009">
        <v>202.45944</v>
      </c>
      <c r="Z42" s="1009"/>
      <c r="AA42" s="1009">
        <v>204.84780000000001</v>
      </c>
      <c r="AB42" s="1009">
        <v>208.33848</v>
      </c>
      <c r="AC42" s="1009">
        <v>210.45125999999999</v>
      </c>
      <c r="AD42" s="1028"/>
    </row>
    <row r="43" spans="2:33" ht="12" customHeight="1">
      <c r="B43" s="1027"/>
      <c r="C43" s="1027"/>
      <c r="D43" s="1027"/>
      <c r="E43" s="1027"/>
      <c r="F43" s="1027"/>
      <c r="G43" s="1027"/>
      <c r="H43" s="1027"/>
      <c r="I43" s="1027"/>
      <c r="J43" s="1027"/>
      <c r="K43" s="1031"/>
      <c r="L43" s="1007">
        <v>44123</v>
      </c>
      <c r="M43" s="1011" t="s">
        <v>646</v>
      </c>
      <c r="R43" s="1009">
        <v>206.86872</v>
      </c>
      <c r="S43" s="1009"/>
      <c r="T43" s="1009"/>
      <c r="U43" s="1009">
        <v>209.4408</v>
      </c>
      <c r="V43" s="1009"/>
      <c r="W43" s="1009"/>
      <c r="X43" s="1009"/>
      <c r="Y43" s="1009">
        <v>212.74776</v>
      </c>
      <c r="Z43" s="1009"/>
      <c r="AA43" s="1009">
        <v>214.58496</v>
      </c>
      <c r="AB43" s="1009">
        <v>217.43261999999999</v>
      </c>
      <c r="AC43" s="1009">
        <v>218.99423999999999</v>
      </c>
    </row>
    <row r="44" spans="2:33" ht="12" customHeight="1">
      <c r="B44" s="1027"/>
      <c r="C44" s="1027"/>
      <c r="D44" s="1027"/>
      <c r="E44" s="1027"/>
      <c r="F44" s="1027"/>
      <c r="G44" s="1027"/>
      <c r="H44" s="1027"/>
      <c r="I44" s="1027"/>
      <c r="J44" s="1027"/>
      <c r="K44" s="1031"/>
      <c r="L44" s="1007">
        <v>44130</v>
      </c>
      <c r="M44" s="1011" t="s">
        <v>647</v>
      </c>
      <c r="N44" s="1009"/>
      <c r="O44" s="1009"/>
      <c r="P44" s="1009"/>
      <c r="Q44" s="1009"/>
      <c r="R44" s="1009">
        <v>202.82687999999999</v>
      </c>
      <c r="S44" s="1009"/>
      <c r="T44" s="1009"/>
      <c r="U44" s="1009">
        <v>205.58267999999998</v>
      </c>
      <c r="V44" s="1009"/>
      <c r="W44" s="1009"/>
      <c r="X44" s="1009"/>
      <c r="Y44" s="1009">
        <v>209.07335999999998</v>
      </c>
      <c r="Z44" s="1009"/>
      <c r="AA44" s="1009">
        <v>211.00242</v>
      </c>
      <c r="AB44" s="1009">
        <v>214.12565999999998</v>
      </c>
      <c r="AC44" s="1009">
        <v>215.96286000000001</v>
      </c>
    </row>
    <row r="45" spans="2:33" ht="12" customHeight="1">
      <c r="B45" s="1027"/>
      <c r="C45" s="1027"/>
      <c r="D45" s="1027"/>
      <c r="E45" s="1027"/>
      <c r="F45" s="1027"/>
      <c r="G45" s="1027"/>
      <c r="H45" s="1027"/>
      <c r="I45" s="1027"/>
      <c r="J45" s="1027"/>
      <c r="K45" s="1031"/>
      <c r="L45" s="1007">
        <v>44137</v>
      </c>
      <c r="M45" s="1011" t="s">
        <v>648</v>
      </c>
      <c r="N45" s="1009"/>
      <c r="O45" s="1009"/>
      <c r="P45" s="1009"/>
      <c r="Q45" s="1009"/>
      <c r="R45" s="1009">
        <v>203.19432</v>
      </c>
      <c r="S45" s="1009"/>
      <c r="T45" s="1009"/>
      <c r="U45" s="1009">
        <v>205.03152</v>
      </c>
      <c r="V45" s="1009"/>
      <c r="W45" s="1009"/>
      <c r="X45" s="1009"/>
      <c r="Y45" s="1009">
        <v>208.70591999999999</v>
      </c>
      <c r="Z45" s="1009"/>
      <c r="AA45" s="1009">
        <v>210.54311999999999</v>
      </c>
      <c r="AB45" s="1009">
        <v>213.39078000000001</v>
      </c>
      <c r="AC45" s="1009">
        <v>215.22798</v>
      </c>
    </row>
    <row r="46" spans="2:33" ht="12" customHeight="1">
      <c r="B46" s="1027"/>
      <c r="C46" s="1027"/>
      <c r="D46" s="1027"/>
      <c r="E46" s="1027"/>
      <c r="F46" s="1027"/>
      <c r="G46" s="1027"/>
      <c r="H46" s="1027"/>
      <c r="I46" s="1027"/>
      <c r="J46" s="1027"/>
      <c r="K46" s="1031"/>
      <c r="L46" s="1007">
        <v>44144</v>
      </c>
      <c r="M46" s="1011" t="s">
        <v>649</v>
      </c>
      <c r="N46" s="1009"/>
      <c r="O46" s="1009"/>
      <c r="P46" s="1009"/>
      <c r="Q46" s="1009"/>
      <c r="R46" s="1009">
        <v>203.01059999999998</v>
      </c>
      <c r="S46" s="1009"/>
      <c r="T46" s="1009"/>
      <c r="U46" s="1009">
        <v>205.85826</v>
      </c>
      <c r="V46" s="1009"/>
      <c r="W46" s="1009"/>
      <c r="X46" s="1009"/>
      <c r="Y46" s="1009">
        <v>209.4408</v>
      </c>
      <c r="Z46" s="1009"/>
      <c r="AA46" s="1009">
        <v>211.46171999999999</v>
      </c>
      <c r="AB46" s="1009">
        <v>214.67681999999999</v>
      </c>
      <c r="AC46" s="1009">
        <v>216.88146</v>
      </c>
    </row>
    <row r="47" spans="2:33" ht="12" customHeight="1">
      <c r="B47" s="1027"/>
      <c r="C47" s="1027"/>
      <c r="D47" s="1027"/>
      <c r="E47" s="1027"/>
      <c r="F47" s="1027"/>
      <c r="G47" s="1027"/>
      <c r="H47" s="1027"/>
      <c r="I47" s="1027"/>
      <c r="J47" s="1027"/>
      <c r="K47" s="1031"/>
      <c r="L47" s="1007">
        <v>44151</v>
      </c>
      <c r="M47" s="756" t="s">
        <v>651</v>
      </c>
      <c r="N47" s="1009"/>
      <c r="O47" s="1009"/>
      <c r="P47" s="1009"/>
      <c r="Q47" s="1009"/>
      <c r="R47" s="1009">
        <v>205.03152</v>
      </c>
      <c r="S47" s="1009"/>
      <c r="T47" s="1009"/>
      <c r="U47" s="1009">
        <v>208.24662000000001</v>
      </c>
      <c r="V47" s="1009"/>
      <c r="W47" s="1009"/>
      <c r="X47" s="1009"/>
      <c r="Y47" s="1009">
        <v>211.82916</v>
      </c>
      <c r="Z47" s="1009"/>
      <c r="AA47" s="1009">
        <v>213.75821999999999</v>
      </c>
      <c r="AB47" s="1009">
        <v>216.88146</v>
      </c>
      <c r="AC47" s="1009">
        <v>218.99423999999999</v>
      </c>
    </row>
    <row r="48" spans="2:33" ht="12" customHeight="1">
      <c r="B48" s="1027"/>
      <c r="C48" s="1027"/>
      <c r="D48" s="1027"/>
      <c r="E48" s="1027"/>
      <c r="F48" s="1027"/>
      <c r="G48" s="1027"/>
      <c r="H48" s="1027"/>
      <c r="I48" s="1027"/>
      <c r="J48" s="1027"/>
      <c r="K48" s="1031"/>
      <c r="L48" s="1007">
        <v>44158</v>
      </c>
      <c r="M48" s="756" t="s">
        <v>652</v>
      </c>
      <c r="N48" s="1009"/>
      <c r="O48" s="1009"/>
      <c r="P48" s="1009"/>
      <c r="Q48" s="1009"/>
      <c r="R48" s="1009">
        <v>202.5513</v>
      </c>
      <c r="S48" s="1009"/>
      <c r="T48" s="1009"/>
      <c r="U48" s="1009">
        <v>205.95012</v>
      </c>
      <c r="V48" s="1009"/>
      <c r="W48" s="1009"/>
      <c r="X48" s="1009"/>
      <c r="Y48" s="1009">
        <v>209.71637999999999</v>
      </c>
      <c r="Z48" s="1009"/>
      <c r="AA48" s="1009">
        <v>211.64544000000001</v>
      </c>
      <c r="AB48" s="1009">
        <v>214.30938</v>
      </c>
      <c r="AC48" s="1009">
        <v>216.14658</v>
      </c>
    </row>
    <row r="49" spans="2:34" ht="12" customHeight="1">
      <c r="B49" s="1027"/>
      <c r="C49" s="1027"/>
      <c r="D49" s="1027"/>
      <c r="E49" s="1027"/>
      <c r="F49" s="1027"/>
      <c r="G49" s="1027"/>
      <c r="H49" s="1027"/>
      <c r="I49" s="1027"/>
      <c r="J49" s="1027"/>
      <c r="K49" s="1031"/>
      <c r="L49" s="1007">
        <v>44165</v>
      </c>
      <c r="M49" s="756" t="s">
        <v>653</v>
      </c>
      <c r="N49" s="1009"/>
      <c r="O49" s="1009"/>
      <c r="P49" s="1009"/>
      <c r="Q49" s="1009"/>
      <c r="R49" s="1009">
        <v>200.53038000000001</v>
      </c>
      <c r="S49" s="1009"/>
      <c r="T49" s="1009"/>
      <c r="U49" s="1009">
        <v>200.98967999999999</v>
      </c>
      <c r="V49" s="1009"/>
      <c r="W49" s="1009"/>
      <c r="X49" s="1009"/>
      <c r="Y49" s="1009">
        <v>204.48035999999999</v>
      </c>
      <c r="Z49" s="1009"/>
      <c r="AA49" s="1009">
        <v>206.59314000000001</v>
      </c>
      <c r="AB49" s="1009">
        <v>209.71637999999999</v>
      </c>
      <c r="AC49" s="1009">
        <v>211.92102</v>
      </c>
    </row>
    <row r="50" spans="2:34" ht="12" customHeight="1">
      <c r="B50" s="1027"/>
      <c r="C50" s="1027"/>
      <c r="D50" s="1027"/>
      <c r="E50" s="1027"/>
      <c r="F50" s="1027"/>
      <c r="G50" s="1027"/>
      <c r="H50" s="1027"/>
      <c r="I50" s="1027"/>
      <c r="J50" s="1027"/>
      <c r="K50" s="1031"/>
      <c r="L50" s="1007">
        <v>44172</v>
      </c>
      <c r="M50" s="756" t="s">
        <v>654</v>
      </c>
      <c r="N50" s="1009"/>
      <c r="O50" s="1009"/>
      <c r="P50" s="1009"/>
      <c r="Q50" s="1009"/>
      <c r="R50" s="1009">
        <v>199.33619999999999</v>
      </c>
      <c r="S50" s="1009"/>
      <c r="T50" s="1009"/>
      <c r="U50" s="1009">
        <v>200.43851999999998</v>
      </c>
      <c r="V50" s="1009"/>
      <c r="W50" s="1009"/>
      <c r="X50" s="1009"/>
      <c r="Y50" s="1009">
        <v>203.56175999999999</v>
      </c>
      <c r="Z50" s="1009"/>
      <c r="AA50" s="1009">
        <v>205.49081999999999</v>
      </c>
      <c r="AB50" s="1009">
        <v>208.15475999999998</v>
      </c>
      <c r="AC50" s="1009">
        <v>210.63497999999998</v>
      </c>
    </row>
    <row r="51" spans="2:34" ht="12" customHeight="1">
      <c r="B51" s="1027"/>
      <c r="C51" s="1027"/>
      <c r="D51" s="1027"/>
      <c r="E51" s="1027"/>
      <c r="F51" s="1027"/>
      <c r="G51" s="1027"/>
      <c r="H51" s="1027"/>
      <c r="I51" s="1027"/>
      <c r="J51" s="1027"/>
      <c r="K51" s="1031"/>
      <c r="L51" s="1007">
        <v>44179</v>
      </c>
      <c r="M51" s="756" t="s">
        <v>659</v>
      </c>
      <c r="N51" s="1009"/>
      <c r="O51" s="1009"/>
      <c r="P51" s="1009"/>
      <c r="Q51" s="1009"/>
      <c r="R51" s="1009"/>
      <c r="S51" s="1009"/>
      <c r="T51" s="1009"/>
      <c r="U51" s="1009">
        <v>206.59314000000001</v>
      </c>
      <c r="V51" s="1009"/>
      <c r="W51" s="1009"/>
      <c r="X51" s="1009"/>
      <c r="Y51" s="1009">
        <v>208.88963999999999</v>
      </c>
      <c r="Z51" s="1009"/>
      <c r="AA51" s="1009">
        <v>210.54311999999999</v>
      </c>
      <c r="AB51" s="1009">
        <v>213.11519999999999</v>
      </c>
      <c r="AC51" s="1009">
        <v>214.95239999999998</v>
      </c>
    </row>
    <row r="52" spans="2:34" ht="12" customHeight="1">
      <c r="B52" s="1027"/>
      <c r="C52" s="1027"/>
      <c r="D52" s="1027"/>
      <c r="E52" s="1027"/>
      <c r="F52" s="1027"/>
      <c r="G52" s="1027"/>
      <c r="H52" s="1027"/>
      <c r="I52" s="1027"/>
      <c r="J52" s="1027"/>
      <c r="K52" s="1031"/>
      <c r="L52" s="1007">
        <v>44186</v>
      </c>
      <c r="M52" s="756" t="s">
        <v>660</v>
      </c>
      <c r="N52" s="1009"/>
      <c r="O52" s="1009"/>
      <c r="P52" s="1009"/>
      <c r="Q52" s="1009"/>
      <c r="R52" s="1009"/>
      <c r="S52" s="1009"/>
      <c r="T52" s="1009"/>
      <c r="U52" s="1009">
        <v>211.09428</v>
      </c>
      <c r="V52" s="1009"/>
      <c r="W52" s="1009"/>
      <c r="X52" s="1009"/>
      <c r="Y52" s="1009">
        <v>213.29891999999998</v>
      </c>
      <c r="Z52" s="1009"/>
      <c r="AA52" s="1009">
        <v>215.04425999999998</v>
      </c>
      <c r="AB52" s="1009">
        <v>217.61633999999998</v>
      </c>
      <c r="AC52" s="1009">
        <v>219.26981999999998</v>
      </c>
    </row>
    <row r="53" spans="2:34" ht="13.5" customHeight="1">
      <c r="B53" s="1027"/>
      <c r="C53" s="1027"/>
      <c r="D53" s="1027"/>
      <c r="E53" s="1027"/>
      <c r="F53" s="1027"/>
      <c r="G53" s="1027"/>
      <c r="H53" s="1027"/>
      <c r="I53" s="1027"/>
      <c r="J53" s="1027"/>
      <c r="K53" s="1031"/>
      <c r="L53" s="1007">
        <v>44193</v>
      </c>
      <c r="M53" s="756" t="s">
        <v>661</v>
      </c>
      <c r="N53" s="1009"/>
      <c r="O53" s="1009"/>
      <c r="P53" s="1009"/>
      <c r="Q53" s="1009"/>
      <c r="R53" s="1009"/>
      <c r="S53" s="1009"/>
      <c r="T53" s="1009"/>
      <c r="U53" s="1009">
        <v>212.01288</v>
      </c>
      <c r="V53" s="1009"/>
      <c r="W53" s="1009"/>
      <c r="X53" s="1009"/>
      <c r="Y53" s="1009">
        <v>213.94193999999999</v>
      </c>
      <c r="Z53" s="1009"/>
      <c r="AA53" s="1009">
        <v>215.68727999999999</v>
      </c>
      <c r="AB53" s="1009">
        <v>218.35121999999998</v>
      </c>
      <c r="AC53" s="1009">
        <v>220.09655999999998</v>
      </c>
    </row>
    <row r="54" spans="2:34" ht="13.5" customHeight="1">
      <c r="B54" s="1027"/>
      <c r="C54" s="1027"/>
      <c r="D54" s="1027"/>
      <c r="E54" s="1027"/>
      <c r="F54" s="1027"/>
      <c r="G54" s="1027"/>
      <c r="H54" s="1027"/>
      <c r="I54" s="1027"/>
      <c r="J54" s="1027"/>
      <c r="K54" s="1031"/>
      <c r="L54" s="1014">
        <v>44200</v>
      </c>
      <c r="M54" s="1011" t="s">
        <v>662</v>
      </c>
      <c r="U54" s="1009">
        <v>220.28028</v>
      </c>
      <c r="V54" s="1009"/>
      <c r="W54" s="1009"/>
      <c r="X54" s="1009"/>
      <c r="Y54" s="1009">
        <v>222.30119999999999</v>
      </c>
      <c r="Z54" s="1009"/>
      <c r="AA54" s="1009">
        <v>223.77096</v>
      </c>
      <c r="AB54" s="1009">
        <v>226.52676</v>
      </c>
      <c r="AC54" s="1009">
        <v>227.90466000000001</v>
      </c>
    </row>
    <row r="55" spans="2:34" ht="12.75" customHeight="1">
      <c r="B55" s="1027"/>
      <c r="C55" s="1027"/>
      <c r="D55" s="1027"/>
      <c r="E55" s="1027"/>
      <c r="F55" s="1027"/>
      <c r="G55" s="1027"/>
      <c r="H55" s="1027"/>
      <c r="I55" s="1027"/>
      <c r="J55" s="1027"/>
      <c r="K55" s="1031"/>
      <c r="L55" s="1014">
        <v>44207</v>
      </c>
      <c r="M55" s="1011" t="s">
        <v>663</v>
      </c>
      <c r="U55" s="1009">
        <v>218.25935999999999</v>
      </c>
      <c r="V55" s="1009"/>
      <c r="W55" s="1009"/>
      <c r="X55" s="1009"/>
      <c r="Y55" s="1009">
        <v>221.10702000000001</v>
      </c>
      <c r="Z55" s="1009"/>
      <c r="AA55" s="1009">
        <v>222.94422</v>
      </c>
      <c r="AB55" s="1009">
        <v>225.70001999999999</v>
      </c>
      <c r="AC55" s="1009">
        <v>227.3535</v>
      </c>
    </row>
    <row r="56" spans="2:34" ht="12.75" customHeight="1">
      <c r="B56" s="1027"/>
      <c r="C56" s="1027"/>
      <c r="D56" s="1027"/>
      <c r="E56" s="1027"/>
      <c r="F56" s="1027"/>
      <c r="G56" s="1027"/>
      <c r="H56" s="1027"/>
      <c r="I56" s="1027"/>
      <c r="J56" s="1027"/>
      <c r="K56" s="1031"/>
      <c r="L56" s="1014">
        <v>44215</v>
      </c>
      <c r="M56" s="756" t="s">
        <v>697</v>
      </c>
      <c r="U56" s="1009">
        <v>236.63136</v>
      </c>
      <c r="V56" s="1009"/>
      <c r="W56" s="1009"/>
      <c r="X56" s="1009"/>
      <c r="Y56" s="1009">
        <v>237.4581</v>
      </c>
      <c r="Z56" s="1009"/>
      <c r="AA56" s="1009">
        <v>238.65227999999999</v>
      </c>
      <c r="AB56" s="1009">
        <v>241.04064</v>
      </c>
      <c r="AC56" s="1009">
        <v>241.49993999999998</v>
      </c>
    </row>
    <row r="57" spans="2:34" ht="15" customHeight="1">
      <c r="B57" s="1027"/>
      <c r="C57" s="1027"/>
      <c r="D57" s="1027"/>
      <c r="E57" s="1027"/>
      <c r="F57" s="1027"/>
      <c r="G57" s="1027"/>
      <c r="H57" s="1027"/>
      <c r="I57" s="1027"/>
      <c r="J57" s="1027"/>
      <c r="K57" s="1031"/>
      <c r="L57" s="1014">
        <v>44221</v>
      </c>
      <c r="M57" s="756" t="s">
        <v>698</v>
      </c>
      <c r="U57" s="1009">
        <v>230.47674000000001</v>
      </c>
      <c r="V57" s="1009"/>
      <c r="W57" s="1009"/>
      <c r="X57" s="1009"/>
      <c r="Y57" s="1009">
        <v>231.21161999999998</v>
      </c>
      <c r="Z57" s="1009"/>
      <c r="AA57" s="1009">
        <v>231.94649999999999</v>
      </c>
      <c r="AB57" s="1009">
        <v>233.78369999999998</v>
      </c>
      <c r="AC57" s="1009">
        <v>234.24299999999999</v>
      </c>
    </row>
    <row r="58" spans="2:34" ht="15" customHeight="1">
      <c r="B58" s="1027"/>
      <c r="C58" s="1027"/>
      <c r="D58" s="1027"/>
      <c r="E58" s="1027"/>
      <c r="F58" s="1027"/>
      <c r="G58" s="1027"/>
      <c r="H58" s="1027"/>
      <c r="I58" s="1027"/>
      <c r="J58" s="1027"/>
      <c r="K58" s="1031"/>
      <c r="L58" s="1014">
        <v>44228</v>
      </c>
      <c r="M58" s="756" t="s">
        <v>699</v>
      </c>
      <c r="U58" s="1009">
        <v>229.74186</v>
      </c>
      <c r="V58" s="1009"/>
      <c r="W58" s="1009"/>
      <c r="X58" s="1009"/>
      <c r="Y58" s="1009">
        <v>230.66046</v>
      </c>
      <c r="Z58" s="1009"/>
      <c r="AA58" s="1009">
        <v>231.21161999999998</v>
      </c>
      <c r="AB58" s="1009">
        <v>232.86509999999998</v>
      </c>
      <c r="AC58" s="1009">
        <v>233.04882000000001</v>
      </c>
      <c r="AD58" s="1028"/>
      <c r="AE58" s="1009"/>
      <c r="AF58" s="1009"/>
      <c r="AG58" s="1009"/>
      <c r="AH58" s="1028"/>
    </row>
    <row r="59" spans="2:34" ht="15" customHeight="1">
      <c r="B59" s="1027"/>
      <c r="C59" s="1027"/>
      <c r="D59" s="1027"/>
      <c r="E59" s="1027"/>
      <c r="F59" s="1027"/>
      <c r="G59" s="1027"/>
      <c r="H59" s="1027"/>
      <c r="I59" s="1027"/>
      <c r="J59" s="1027"/>
      <c r="K59" s="1031"/>
      <c r="L59" s="1014">
        <v>44235</v>
      </c>
      <c r="M59" s="756" t="s">
        <v>700</v>
      </c>
      <c r="U59" s="1009">
        <v>234.97788</v>
      </c>
      <c r="V59" s="1009"/>
      <c r="W59" s="1009">
        <v>236.72322</v>
      </c>
      <c r="Y59" s="1009">
        <v>236.90693999999999</v>
      </c>
      <c r="Z59" s="1009"/>
      <c r="AA59" s="1009">
        <v>238.00925999999998</v>
      </c>
      <c r="AB59" s="1009">
        <v>240.03018</v>
      </c>
      <c r="AC59" s="1009">
        <v>241.22435999999999</v>
      </c>
      <c r="AG59" s="1009"/>
      <c r="AH59" s="1028"/>
    </row>
    <row r="60" spans="2:34" ht="15" customHeight="1">
      <c r="B60" s="1027"/>
      <c r="C60" s="1027"/>
      <c r="D60" s="1027"/>
      <c r="E60" s="1027"/>
      <c r="F60" s="1027"/>
      <c r="G60" s="1027"/>
      <c r="H60" s="1027"/>
      <c r="I60" s="1027"/>
      <c r="J60" s="1027"/>
      <c r="K60" s="1031"/>
      <c r="L60" s="1014">
        <v>44243</v>
      </c>
      <c r="M60" s="1011" t="s">
        <v>721</v>
      </c>
      <c r="U60" s="1009">
        <v>234.24299999999999</v>
      </c>
      <c r="V60" s="1009"/>
      <c r="W60" s="1009">
        <v>236.35577999999998</v>
      </c>
      <c r="Y60" s="1009">
        <v>237.09065999999999</v>
      </c>
      <c r="Z60" s="1009"/>
      <c r="AA60" s="1009">
        <v>238.46856</v>
      </c>
      <c r="AB60" s="1009">
        <v>240.58133999999998</v>
      </c>
      <c r="AC60" s="1009">
        <v>242.32667999999998</v>
      </c>
      <c r="AG60" s="1009"/>
      <c r="AH60" s="1028"/>
    </row>
    <row r="61" spans="2:34" ht="15" customHeight="1">
      <c r="B61" s="1027"/>
      <c r="C61" s="1027"/>
      <c r="D61" s="1027"/>
      <c r="E61" s="1027"/>
      <c r="F61" s="1027"/>
      <c r="G61" s="1027"/>
      <c r="H61" s="1027"/>
      <c r="I61" s="1027"/>
      <c r="J61" s="1027"/>
      <c r="K61" s="1031"/>
      <c r="L61" s="1014">
        <v>44249</v>
      </c>
      <c r="M61" s="1011" t="s">
        <v>722</v>
      </c>
      <c r="U61" s="1009">
        <v>236.81507999999999</v>
      </c>
      <c r="V61" s="1009"/>
      <c r="W61" s="1009">
        <v>239.20344</v>
      </c>
      <c r="Y61" s="1009">
        <v>240.48947999999999</v>
      </c>
      <c r="Z61" s="1009"/>
      <c r="AA61" s="1009">
        <v>241.95923999999999</v>
      </c>
      <c r="AB61" s="1009">
        <v>243.98015999999998</v>
      </c>
      <c r="AC61" s="1009">
        <v>245.44991999999999</v>
      </c>
      <c r="AG61" s="1009"/>
      <c r="AH61" s="1028"/>
    </row>
    <row r="62" spans="2:34" ht="15" customHeight="1">
      <c r="B62" s="1027"/>
      <c r="C62" s="1027"/>
      <c r="D62" s="1027"/>
      <c r="E62" s="1027"/>
      <c r="F62" s="1027"/>
      <c r="G62" s="1027"/>
      <c r="H62" s="1027"/>
      <c r="I62" s="1027"/>
      <c r="J62" s="1027"/>
      <c r="K62" s="1031"/>
      <c r="L62" s="1014">
        <v>44256</v>
      </c>
      <c r="M62" s="1011" t="s">
        <v>723</v>
      </c>
      <c r="U62" s="1009">
        <v>225.70001999999999</v>
      </c>
      <c r="V62" s="1009"/>
      <c r="W62" s="1009">
        <v>229.00698</v>
      </c>
      <c r="Y62" s="1009">
        <v>231.02789999999999</v>
      </c>
      <c r="Z62" s="1009"/>
      <c r="AA62" s="1009">
        <v>232.77323999999999</v>
      </c>
      <c r="AB62" s="1009">
        <v>235.62090000000001</v>
      </c>
      <c r="AC62" s="1009">
        <v>237.91739999999999</v>
      </c>
      <c r="AG62" s="1009"/>
      <c r="AH62" s="1028"/>
    </row>
    <row r="63" spans="2:34" ht="15" customHeight="1">
      <c r="B63" s="1027"/>
      <c r="C63" s="1027"/>
      <c r="D63" s="1027"/>
      <c r="E63" s="1027"/>
      <c r="F63" s="1027"/>
      <c r="G63" s="1027"/>
      <c r="H63" s="1027"/>
      <c r="I63" s="1027"/>
      <c r="J63" s="1027"/>
      <c r="K63" s="1031"/>
      <c r="L63" s="1014">
        <v>44263</v>
      </c>
      <c r="M63" s="1011" t="s">
        <v>730</v>
      </c>
      <c r="U63" s="1009">
        <v>225.33258000000001</v>
      </c>
      <c r="V63" s="1009"/>
      <c r="W63" s="1009">
        <v>228.45581999999999</v>
      </c>
      <c r="X63" s="1009"/>
      <c r="Y63" s="1009">
        <v>230.5686</v>
      </c>
      <c r="Z63" s="1009"/>
      <c r="AA63" s="1009">
        <v>232.58951999999999</v>
      </c>
      <c r="AB63" s="1009">
        <v>235.25345999999999</v>
      </c>
      <c r="AC63" s="1009">
        <v>237.36624</v>
      </c>
      <c r="AD63" s="1028"/>
      <c r="AE63" s="1009"/>
      <c r="AF63" s="1009"/>
      <c r="AG63" s="1009"/>
      <c r="AH63" s="1028"/>
    </row>
    <row r="64" spans="2:34" ht="15" customHeight="1">
      <c r="B64" s="1027"/>
      <c r="C64" s="1027"/>
      <c r="D64" s="1027"/>
      <c r="E64" s="1027"/>
      <c r="F64" s="1027"/>
      <c r="G64" s="1027"/>
      <c r="H64" s="1027"/>
      <c r="I64" s="1027"/>
      <c r="J64" s="1027"/>
      <c r="K64" s="1031"/>
    </row>
    <row r="65" spans="2:11" ht="15" customHeight="1">
      <c r="B65" s="1027"/>
      <c r="C65" s="1027"/>
      <c r="D65" s="1027"/>
      <c r="E65" s="1027"/>
      <c r="F65" s="1027"/>
      <c r="G65" s="1027"/>
      <c r="H65" s="1027"/>
      <c r="I65" s="1027"/>
      <c r="J65" s="1027"/>
      <c r="K65" s="1031"/>
    </row>
    <row r="66" spans="2:11" ht="15" customHeight="1">
      <c r="B66" s="1027"/>
      <c r="C66" s="1027"/>
      <c r="D66" s="1027"/>
      <c r="E66" s="1027"/>
      <c r="F66" s="1027"/>
      <c r="G66" s="1027"/>
      <c r="H66" s="1027"/>
      <c r="I66" s="1027"/>
      <c r="J66" s="1027"/>
      <c r="K66" s="1031"/>
    </row>
    <row r="67" spans="2:11" ht="15" customHeight="1">
      <c r="B67" s="1027"/>
      <c r="C67" s="1027"/>
      <c r="D67" s="1027"/>
      <c r="E67" s="1027"/>
      <c r="F67" s="1027"/>
      <c r="G67" s="1027"/>
      <c r="H67" s="1027"/>
      <c r="I67" s="1027"/>
      <c r="J67" s="1027"/>
      <c r="K67" s="1031"/>
    </row>
    <row r="68" spans="2:11" ht="15" customHeight="1">
      <c r="B68" s="1027"/>
      <c r="C68" s="1027"/>
      <c r="D68" s="1027"/>
      <c r="E68" s="1027"/>
      <c r="F68" s="1027"/>
      <c r="G68" s="1027"/>
      <c r="H68" s="1027"/>
      <c r="I68" s="1027"/>
      <c r="J68" s="1027"/>
      <c r="K68" s="1031"/>
    </row>
    <row r="69" spans="2:11" ht="15" customHeight="1">
      <c r="B69" s="1027"/>
      <c r="C69" s="1027"/>
      <c r="D69" s="1027"/>
      <c r="E69" s="1027"/>
      <c r="F69" s="1027"/>
      <c r="G69" s="1027"/>
      <c r="H69" s="1027"/>
      <c r="I69" s="1027"/>
      <c r="J69" s="1027"/>
      <c r="K69" s="1031"/>
    </row>
    <row r="70" spans="2:11" ht="15" customHeight="1">
      <c r="B70" s="1027"/>
      <c r="C70" s="1027"/>
      <c r="D70" s="1027"/>
      <c r="E70" s="1027"/>
      <c r="F70" s="1027"/>
      <c r="G70" s="1027"/>
      <c r="H70" s="1027"/>
      <c r="I70" s="1027"/>
      <c r="J70" s="1027"/>
      <c r="K70" s="1031"/>
    </row>
    <row r="71" spans="2:11" ht="15" customHeight="1">
      <c r="B71" s="1027"/>
      <c r="C71" s="1027"/>
      <c r="D71" s="1027"/>
      <c r="E71" s="1027"/>
      <c r="F71" s="1027"/>
      <c r="G71" s="1027"/>
      <c r="H71" s="1027"/>
      <c r="I71" s="1027"/>
      <c r="J71" s="1027"/>
      <c r="K71" s="1031"/>
    </row>
    <row r="72" spans="2:11" ht="15" customHeight="1">
      <c r="B72" s="1027"/>
      <c r="C72" s="1027"/>
      <c r="D72" s="1027"/>
      <c r="E72" s="1027"/>
      <c r="F72" s="1027"/>
      <c r="G72" s="1027"/>
      <c r="H72" s="1027"/>
      <c r="I72" s="1027"/>
      <c r="J72" s="1027"/>
      <c r="K72" s="1031"/>
    </row>
    <row r="73" spans="2:11" ht="15" customHeight="1">
      <c r="B73" s="1027"/>
      <c r="C73" s="1027"/>
      <c r="D73" s="1027"/>
      <c r="E73" s="1027"/>
      <c r="F73" s="1027"/>
      <c r="G73" s="1027"/>
      <c r="H73" s="1027"/>
      <c r="I73" s="1027"/>
      <c r="J73" s="1027"/>
      <c r="K73" s="1031"/>
    </row>
    <row r="74" spans="2:11" ht="15" customHeight="1">
      <c r="B74" s="1027"/>
      <c r="C74" s="1027"/>
      <c r="D74" s="1027"/>
      <c r="E74" s="1027"/>
      <c r="F74" s="1027"/>
      <c r="G74" s="1027"/>
      <c r="H74" s="1027"/>
      <c r="I74" s="1027"/>
      <c r="J74" s="1027"/>
      <c r="K74" s="1031"/>
    </row>
    <row r="75" spans="2:11" ht="15" customHeight="1">
      <c r="B75" s="1027"/>
      <c r="C75" s="1027"/>
      <c r="D75" s="1027"/>
      <c r="E75" s="1027"/>
      <c r="F75" s="1027"/>
      <c r="G75" s="1027"/>
      <c r="H75" s="1027"/>
      <c r="I75" s="1027"/>
      <c r="J75" s="1027"/>
      <c r="K75" s="1031"/>
    </row>
    <row r="76" spans="2:11" ht="15" customHeight="1">
      <c r="B76" s="1027"/>
      <c r="C76" s="1027"/>
      <c r="D76" s="1027"/>
      <c r="E76" s="1027"/>
      <c r="F76" s="1027"/>
      <c r="G76" s="1027"/>
      <c r="H76" s="1027"/>
      <c r="I76" s="1027"/>
      <c r="J76" s="1027"/>
      <c r="K76" s="1031"/>
    </row>
    <row r="77" spans="2:11" ht="15" customHeight="1">
      <c r="B77" s="1027"/>
      <c r="C77" s="1027"/>
      <c r="D77" s="1027"/>
      <c r="E77" s="1027"/>
      <c r="F77" s="1027"/>
      <c r="G77" s="1027"/>
      <c r="H77" s="1027"/>
      <c r="I77" s="1027"/>
      <c r="J77" s="1027"/>
      <c r="K77" s="1031"/>
    </row>
    <row r="78" spans="2:11" ht="15" customHeight="1">
      <c r="B78" s="1027"/>
      <c r="C78" s="1027"/>
      <c r="D78" s="1027"/>
      <c r="E78" s="1027"/>
      <c r="F78" s="1027"/>
      <c r="G78" s="1027"/>
      <c r="H78" s="1027"/>
      <c r="I78" s="1027"/>
      <c r="J78" s="1027"/>
      <c r="K78" s="1031"/>
    </row>
    <row r="79" spans="2:11" ht="15" customHeight="1">
      <c r="B79" s="1027"/>
      <c r="C79" s="1027"/>
      <c r="D79" s="1027"/>
      <c r="E79" s="1027"/>
      <c r="F79" s="1027"/>
      <c r="G79" s="1027"/>
      <c r="H79" s="1027"/>
      <c r="I79" s="1027"/>
      <c r="J79" s="1027"/>
      <c r="K79" s="1031"/>
    </row>
    <row r="80" spans="2:11" ht="15" customHeight="1">
      <c r="B80" s="1027"/>
      <c r="C80" s="1027"/>
      <c r="D80" s="1027"/>
      <c r="E80" s="1027"/>
      <c r="F80" s="1027"/>
      <c r="G80" s="1027"/>
      <c r="H80" s="1027"/>
      <c r="I80" s="1027"/>
      <c r="J80" s="1027"/>
      <c r="K80" s="1031"/>
    </row>
    <row r="81" spans="2:11" ht="15" customHeight="1">
      <c r="B81" s="1027"/>
      <c r="C81" s="1027"/>
      <c r="D81" s="1027"/>
      <c r="E81" s="1027"/>
      <c r="F81" s="1027"/>
      <c r="G81" s="1027"/>
      <c r="H81" s="1027"/>
      <c r="I81" s="1027"/>
      <c r="J81" s="1027"/>
      <c r="K81" s="1031"/>
    </row>
    <row r="82" spans="2:11" ht="15" customHeight="1"/>
    <row r="83" spans="2:11" ht="15" customHeight="1"/>
    <row r="84" spans="2:11" ht="15" customHeight="1"/>
    <row r="85" spans="2:11" ht="15" customHeight="1"/>
    <row r="86" spans="2:11" ht="15" customHeight="1"/>
    <row r="87" spans="2:11" ht="15" customHeight="1"/>
    <row r="88" spans="2:11" ht="15" customHeight="1"/>
    <row r="89" spans="2:11" ht="15" customHeight="1"/>
    <row r="90" spans="2:11" ht="15" customHeight="1"/>
    <row r="91" spans="2:11" ht="15" customHeight="1"/>
    <row r="92" spans="2:11" ht="15" customHeight="1"/>
    <row r="93" spans="2:11" ht="15" customHeight="1"/>
    <row r="94" spans="2:11" ht="15" customHeight="1"/>
    <row r="95" spans="2:11" ht="15" customHeight="1"/>
    <row r="120" spans="13:13">
      <c r="M120" s="1008"/>
    </row>
    <row r="121" spans="13:13">
      <c r="M121" s="1008"/>
    </row>
    <row r="122" spans="13:13">
      <c r="M122" s="1008"/>
    </row>
    <row r="123" spans="13:13">
      <c r="M123" s="1008"/>
    </row>
    <row r="124" spans="13:13">
      <c r="M124" s="1008"/>
    </row>
    <row r="125" spans="13:13">
      <c r="M125" s="1008"/>
    </row>
    <row r="126" spans="13:13">
      <c r="M126" s="1008"/>
    </row>
    <row r="127" spans="13:13">
      <c r="M127" s="1008"/>
    </row>
    <row r="128" spans="13:13">
      <c r="M128" s="1008"/>
    </row>
    <row r="141" spans="13:13">
      <c r="M141" s="1008"/>
    </row>
    <row r="142" spans="13:13">
      <c r="M142" s="1008"/>
    </row>
  </sheetData>
  <phoneticPr fontId="43"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P38"/>
  <sheetViews>
    <sheetView zoomScaleNormal="100" workbookViewId="0">
      <selection activeCell="F32" sqref="F32"/>
    </sheetView>
  </sheetViews>
  <sheetFormatPr baseColWidth="10" defaultColWidth="5.81640625" defaultRowHeight="12.75"/>
  <cols>
    <col min="1" max="1" width="2.7265625" style="109" customWidth="1"/>
    <col min="2" max="2" width="4.90625" style="109" customWidth="1"/>
    <col min="3" max="3" width="6.26953125" style="109" customWidth="1"/>
    <col min="4" max="15" width="6.08984375" style="109" customWidth="1"/>
    <col min="16" max="16" width="6.7265625" style="109" customWidth="1"/>
    <col min="17" max="16384" width="5.81640625" style="109"/>
  </cols>
  <sheetData>
    <row r="1" spans="2:16" ht="12.75" customHeight="1">
      <c r="B1" s="1200" t="s">
        <v>387</v>
      </c>
      <c r="C1" s="1200"/>
      <c r="D1" s="1200"/>
      <c r="E1" s="1200"/>
      <c r="F1" s="1200"/>
      <c r="G1" s="1200"/>
      <c r="H1" s="1200"/>
      <c r="I1" s="1200"/>
      <c r="J1" s="1200"/>
      <c r="K1" s="1200"/>
      <c r="L1" s="1200"/>
      <c r="M1" s="1200"/>
      <c r="N1" s="1200"/>
      <c r="O1" s="1200"/>
      <c r="P1" s="108"/>
    </row>
    <row r="2" spans="2:16" ht="12.75" customHeight="1">
      <c r="B2" s="128"/>
      <c r="C2" s="128"/>
      <c r="D2" s="128"/>
      <c r="E2" s="128"/>
      <c r="F2" s="128"/>
      <c r="G2" s="128"/>
      <c r="H2" s="128"/>
      <c r="I2" s="128"/>
      <c r="J2" s="128"/>
      <c r="K2" s="128"/>
      <c r="L2" s="128"/>
      <c r="M2" s="128"/>
      <c r="N2" s="128"/>
      <c r="O2" s="128"/>
      <c r="P2" s="108"/>
    </row>
    <row r="3" spans="2:16" ht="16.5" customHeight="1">
      <c r="B3" s="1104" t="s">
        <v>437</v>
      </c>
      <c r="C3" s="1200"/>
      <c r="D3" s="1200"/>
      <c r="E3" s="1200"/>
      <c r="F3" s="1200"/>
      <c r="G3" s="1200"/>
      <c r="H3" s="1200"/>
      <c r="I3" s="1200"/>
      <c r="J3" s="1200"/>
      <c r="K3" s="1200"/>
      <c r="L3" s="1200"/>
      <c r="M3" s="1200"/>
      <c r="N3" s="1200"/>
      <c r="O3" s="1200"/>
      <c r="P3" s="177"/>
    </row>
    <row r="4" spans="2:16" ht="18" customHeight="1">
      <c r="B4" s="1202" t="s">
        <v>166</v>
      </c>
      <c r="C4" s="1202"/>
      <c r="D4" s="1202"/>
      <c r="E4" s="1202"/>
      <c r="F4" s="1202"/>
      <c r="G4" s="1202"/>
      <c r="H4" s="1202"/>
      <c r="I4" s="1202"/>
      <c r="J4" s="1202"/>
      <c r="K4" s="1202"/>
      <c r="L4" s="1202"/>
      <c r="M4" s="1202"/>
      <c r="N4" s="1202"/>
      <c r="O4" s="1202"/>
      <c r="P4" s="223"/>
    </row>
    <row r="5" spans="2:16" ht="18.75" customHeight="1">
      <c r="B5" s="1209" t="s">
        <v>113</v>
      </c>
      <c r="C5" s="1203" t="s">
        <v>64</v>
      </c>
      <c r="D5" s="1201" t="s">
        <v>112</v>
      </c>
      <c r="E5" s="1201"/>
      <c r="F5" s="1201"/>
      <c r="G5" s="1201"/>
      <c r="H5" s="1201"/>
      <c r="I5" s="1201"/>
      <c r="J5" s="1201"/>
      <c r="K5" s="1201" t="s">
        <v>171</v>
      </c>
      <c r="L5" s="1201"/>
      <c r="M5" s="1201"/>
      <c r="N5" s="1201"/>
      <c r="O5" s="1201"/>
      <c r="P5" s="905"/>
    </row>
    <row r="6" spans="2:16" ht="13.5" customHeight="1">
      <c r="B6" s="1210"/>
      <c r="C6" s="1203"/>
      <c r="D6" s="1203" t="s">
        <v>64</v>
      </c>
      <c r="E6" s="1214" t="s">
        <v>114</v>
      </c>
      <c r="F6" s="1214"/>
      <c r="G6" s="1214"/>
      <c r="H6" s="1203" t="s">
        <v>137</v>
      </c>
      <c r="I6" s="1203" t="s">
        <v>138</v>
      </c>
      <c r="J6" s="1215" t="s">
        <v>59</v>
      </c>
      <c r="K6" s="1203" t="s">
        <v>64</v>
      </c>
      <c r="L6" s="1203" t="s">
        <v>118</v>
      </c>
      <c r="M6" s="1203" t="s">
        <v>119</v>
      </c>
      <c r="N6" s="1203" t="s">
        <v>120</v>
      </c>
      <c r="O6" s="1203" t="s">
        <v>59</v>
      </c>
      <c r="P6" s="905"/>
    </row>
    <row r="7" spans="2:16" ht="12.75" customHeight="1">
      <c r="B7" s="1211"/>
      <c r="C7" s="1203"/>
      <c r="D7" s="1203"/>
      <c r="E7" s="562" t="s">
        <v>115</v>
      </c>
      <c r="F7" s="562" t="s">
        <v>116</v>
      </c>
      <c r="G7" s="562" t="s">
        <v>117</v>
      </c>
      <c r="H7" s="1203"/>
      <c r="I7" s="1203"/>
      <c r="J7" s="1203"/>
      <c r="K7" s="1203"/>
      <c r="L7" s="1203"/>
      <c r="M7" s="1203"/>
      <c r="N7" s="1203"/>
      <c r="O7" s="1203"/>
      <c r="P7" s="108"/>
    </row>
    <row r="8" spans="2:16">
      <c r="B8" s="563">
        <v>2013</v>
      </c>
      <c r="C8" s="111">
        <v>1922480</v>
      </c>
      <c r="D8" s="111">
        <v>1504022</v>
      </c>
      <c r="E8" s="111">
        <v>1283781</v>
      </c>
      <c r="F8" s="111">
        <v>78676</v>
      </c>
      <c r="G8" s="111">
        <v>23358</v>
      </c>
      <c r="H8" s="111">
        <v>49087</v>
      </c>
      <c r="I8" s="111">
        <v>59891</v>
      </c>
      <c r="J8" s="111">
        <v>9229</v>
      </c>
      <c r="K8" s="111">
        <v>418458</v>
      </c>
      <c r="L8" s="111">
        <v>228742</v>
      </c>
      <c r="M8" s="111">
        <v>23670</v>
      </c>
      <c r="N8" s="111">
        <v>154443</v>
      </c>
      <c r="O8" s="111">
        <v>11603</v>
      </c>
    </row>
    <row r="9" spans="2:16">
      <c r="B9" s="563">
        <v>2014</v>
      </c>
      <c r="C9" s="539">
        <v>1968268</v>
      </c>
      <c r="D9" s="111">
        <v>1545816</v>
      </c>
      <c r="E9" s="111">
        <v>1331779</v>
      </c>
      <c r="F9" s="111">
        <v>88506</v>
      </c>
      <c r="G9" s="111">
        <v>11754</v>
      </c>
      <c r="H9" s="111">
        <v>46030</v>
      </c>
      <c r="I9" s="111">
        <v>58783</v>
      </c>
      <c r="J9" s="111">
        <v>8964</v>
      </c>
      <c r="K9" s="111">
        <v>422452</v>
      </c>
      <c r="L9" s="111">
        <v>228790</v>
      </c>
      <c r="M9" s="111">
        <v>25606</v>
      </c>
      <c r="N9" s="111">
        <v>163326</v>
      </c>
      <c r="O9" s="111">
        <v>4730</v>
      </c>
    </row>
    <row r="10" spans="2:16">
      <c r="B10" s="563">
        <v>2015</v>
      </c>
      <c r="C10" s="539">
        <v>1962342</v>
      </c>
      <c r="D10" s="111">
        <v>1528953</v>
      </c>
      <c r="E10" s="111">
        <v>1337677</v>
      </c>
      <c r="F10" s="111">
        <v>60624</v>
      </c>
      <c r="G10" s="111">
        <v>6483</v>
      </c>
      <c r="H10" s="111">
        <v>50404</v>
      </c>
      <c r="I10" s="111">
        <v>55472</v>
      </c>
      <c r="J10" s="111">
        <v>18293</v>
      </c>
      <c r="K10" s="111">
        <v>433389</v>
      </c>
      <c r="L10" s="111">
        <v>237936</v>
      </c>
      <c r="M10" s="111">
        <v>26712</v>
      </c>
      <c r="N10" s="111">
        <v>163871</v>
      </c>
      <c r="O10" s="111">
        <v>4870</v>
      </c>
    </row>
    <row r="11" spans="2:16">
      <c r="B11" s="563">
        <v>2016</v>
      </c>
      <c r="C11" s="539">
        <v>2028168</v>
      </c>
      <c r="D11" s="111">
        <v>1586798</v>
      </c>
      <c r="E11" s="111">
        <v>1383515</v>
      </c>
      <c r="F11" s="111">
        <v>65857</v>
      </c>
      <c r="G11" s="111">
        <v>5868</v>
      </c>
      <c r="H11" s="111">
        <v>64334</v>
      </c>
      <c r="I11" s="111">
        <v>51609</v>
      </c>
      <c r="J11" s="111">
        <v>15615</v>
      </c>
      <c r="K11" s="111">
        <v>441370</v>
      </c>
      <c r="L11" s="111">
        <v>246225</v>
      </c>
      <c r="M11" s="111">
        <v>27606</v>
      </c>
      <c r="N11" s="111">
        <v>163502</v>
      </c>
      <c r="O11" s="111">
        <v>4037</v>
      </c>
    </row>
    <row r="12" spans="2:16">
      <c r="B12" s="563">
        <v>2017</v>
      </c>
      <c r="C12" s="111">
        <v>2018526</v>
      </c>
      <c r="D12" s="111">
        <v>1583602</v>
      </c>
      <c r="E12" s="111">
        <v>1388441</v>
      </c>
      <c r="F12" s="111">
        <v>61151</v>
      </c>
      <c r="G12" s="111">
        <v>4852</v>
      </c>
      <c r="H12" s="111">
        <v>58877</v>
      </c>
      <c r="I12" s="111">
        <v>45803</v>
      </c>
      <c r="J12" s="111">
        <v>24478</v>
      </c>
      <c r="K12" s="111">
        <v>434924</v>
      </c>
      <c r="L12" s="111">
        <v>243649</v>
      </c>
      <c r="M12" s="111">
        <v>28787</v>
      </c>
      <c r="N12" s="111">
        <v>159351</v>
      </c>
      <c r="O12" s="111">
        <v>3137</v>
      </c>
    </row>
    <row r="13" spans="2:16" ht="12.75" customHeight="1">
      <c r="B13" s="596">
        <v>2018</v>
      </c>
      <c r="C13" s="111">
        <v>2089336</v>
      </c>
      <c r="D13" s="111">
        <v>1634470</v>
      </c>
      <c r="E13" s="111">
        <v>1443182</v>
      </c>
      <c r="F13" s="111">
        <v>63118</v>
      </c>
      <c r="G13" s="111">
        <v>6393</v>
      </c>
      <c r="H13" s="111">
        <v>64660</v>
      </c>
      <c r="I13" s="111">
        <v>44404</v>
      </c>
      <c r="J13" s="111">
        <v>12713</v>
      </c>
      <c r="K13" s="111">
        <v>454866</v>
      </c>
      <c r="L13" s="111">
        <v>251336</v>
      </c>
      <c r="M13" s="111">
        <v>27950</v>
      </c>
      <c r="N13" s="111">
        <v>171870</v>
      </c>
      <c r="O13" s="111">
        <v>3710</v>
      </c>
    </row>
    <row r="14" spans="2:16" ht="12.75" customHeight="1">
      <c r="B14" s="794">
        <v>2019</v>
      </c>
      <c r="C14" s="111">
        <v>2093498</v>
      </c>
      <c r="D14" s="111">
        <v>1622991</v>
      </c>
      <c r="E14" s="111">
        <v>1431921</v>
      </c>
      <c r="F14" s="111">
        <v>63046</v>
      </c>
      <c r="G14" s="111">
        <v>12346</v>
      </c>
      <c r="H14" s="111">
        <v>70842</v>
      </c>
      <c r="I14" s="111">
        <v>42128</v>
      </c>
      <c r="J14" s="111">
        <v>2708</v>
      </c>
      <c r="K14" s="111">
        <v>470507</v>
      </c>
      <c r="L14" s="111">
        <v>257705</v>
      </c>
      <c r="M14" s="111">
        <v>31063</v>
      </c>
      <c r="N14" s="111">
        <v>177642</v>
      </c>
      <c r="O14" s="111">
        <v>4097</v>
      </c>
    </row>
    <row r="15" spans="2:16" ht="12.75" customHeight="1">
      <c r="B15" s="794" t="s">
        <v>535</v>
      </c>
      <c r="C15" s="111">
        <v>2003727</v>
      </c>
      <c r="D15" s="111">
        <v>1558711</v>
      </c>
      <c r="E15" s="111">
        <v>1365357</v>
      </c>
      <c r="F15" s="111">
        <v>55230</v>
      </c>
      <c r="G15" s="111">
        <v>17318</v>
      </c>
      <c r="H15" s="111">
        <v>67599</v>
      </c>
      <c r="I15" s="111">
        <v>48921</v>
      </c>
      <c r="J15" s="111">
        <v>4286</v>
      </c>
      <c r="K15" s="111">
        <v>445016</v>
      </c>
      <c r="L15" s="111">
        <v>237918</v>
      </c>
      <c r="M15" s="111">
        <v>35211</v>
      </c>
      <c r="N15" s="111">
        <v>169038</v>
      </c>
      <c r="O15" s="111">
        <v>2849</v>
      </c>
    </row>
    <row r="16" spans="2:16">
      <c r="B16" s="108"/>
      <c r="C16" s="549"/>
      <c r="D16" s="549"/>
      <c r="E16" s="549"/>
      <c r="F16" s="549"/>
      <c r="G16" s="549"/>
      <c r="H16" s="549"/>
      <c r="I16" s="549"/>
      <c r="J16" s="549"/>
      <c r="K16" s="549"/>
      <c r="L16" s="549"/>
      <c r="M16" s="549"/>
      <c r="N16" s="549"/>
      <c r="O16" s="549"/>
    </row>
    <row r="17" spans="1:16" s="139" customFormat="1" ht="15" customHeight="1">
      <c r="B17" s="1204" t="s">
        <v>724</v>
      </c>
      <c r="C17" s="1205"/>
      <c r="D17" s="1205"/>
      <c r="E17" s="1205"/>
      <c r="F17" s="1205"/>
      <c r="G17" s="1205"/>
      <c r="H17" s="1205"/>
      <c r="I17" s="1205"/>
      <c r="J17" s="1205"/>
      <c r="K17" s="1205"/>
      <c r="L17" s="1205"/>
      <c r="M17" s="1205"/>
      <c r="N17" s="1205"/>
      <c r="O17" s="1206"/>
      <c r="P17"/>
    </row>
    <row r="18" spans="1:16" s="139" customFormat="1" ht="15" customHeight="1">
      <c r="B18" s="110" t="s">
        <v>47</v>
      </c>
      <c r="C18" s="111">
        <v>149519</v>
      </c>
      <c r="D18" s="111">
        <v>115649</v>
      </c>
      <c r="E18" s="111">
        <v>101476</v>
      </c>
      <c r="F18" s="111">
        <v>3452</v>
      </c>
      <c r="G18" s="111">
        <v>1202</v>
      </c>
      <c r="H18" s="111">
        <v>5178</v>
      </c>
      <c r="I18" s="111">
        <v>3985</v>
      </c>
      <c r="J18" s="111">
        <v>356</v>
      </c>
      <c r="K18" s="111">
        <v>33870</v>
      </c>
      <c r="L18" s="111">
        <v>18201</v>
      </c>
      <c r="M18" s="111">
        <v>2476</v>
      </c>
      <c r="N18" s="111">
        <v>13016</v>
      </c>
      <c r="O18" s="111">
        <v>177</v>
      </c>
    </row>
    <row r="19" spans="1:16" s="139" customFormat="1" ht="15" customHeight="1">
      <c r="B19" s="110" t="s">
        <v>48</v>
      </c>
      <c r="C19" s="111"/>
      <c r="D19" s="111"/>
      <c r="E19" s="111"/>
      <c r="F19" s="111"/>
      <c r="G19" s="111"/>
      <c r="H19" s="111"/>
      <c r="I19" s="111"/>
      <c r="J19" s="111"/>
      <c r="K19" s="111"/>
      <c r="L19" s="111"/>
      <c r="M19" s="111"/>
      <c r="N19" s="111"/>
      <c r="O19" s="111"/>
    </row>
    <row r="20" spans="1:16" s="139" customFormat="1" ht="15" customHeight="1">
      <c r="B20" s="581" t="s">
        <v>49</v>
      </c>
      <c r="C20" s="111"/>
      <c r="D20" s="111"/>
      <c r="E20" s="111"/>
      <c r="F20" s="111"/>
      <c r="G20" s="111"/>
      <c r="H20" s="111"/>
      <c r="I20" s="111"/>
      <c r="J20" s="111"/>
      <c r="K20" s="111"/>
      <c r="L20" s="111"/>
      <c r="M20" s="111"/>
      <c r="N20" s="111"/>
      <c r="O20" s="111"/>
    </row>
    <row r="21" spans="1:16" s="139" customFormat="1" ht="15" customHeight="1">
      <c r="B21" s="581" t="s">
        <v>57</v>
      </c>
      <c r="C21" s="111"/>
      <c r="D21" s="111"/>
      <c r="E21" s="111"/>
      <c r="F21" s="111"/>
      <c r="G21" s="111"/>
      <c r="H21" s="111"/>
      <c r="I21" s="111"/>
      <c r="J21" s="111"/>
      <c r="K21" s="111"/>
      <c r="L21" s="111"/>
      <c r="M21" s="111"/>
      <c r="N21" s="111"/>
      <c r="O21" s="111"/>
    </row>
    <row r="22" spans="1:16" s="139" customFormat="1" ht="15" customHeight="1">
      <c r="B22" s="581" t="s">
        <v>58</v>
      </c>
      <c r="C22" s="111"/>
      <c r="D22" s="111"/>
      <c r="E22" s="111"/>
      <c r="F22" s="111"/>
      <c r="G22" s="111"/>
      <c r="H22" s="111"/>
      <c r="I22" s="111"/>
      <c r="J22" s="111"/>
      <c r="K22" s="111"/>
      <c r="L22" s="111"/>
      <c r="M22" s="111"/>
      <c r="N22" s="111"/>
      <c r="O22" s="111"/>
    </row>
    <row r="23" spans="1:16" s="139" customFormat="1" ht="15" customHeight="1">
      <c r="B23" s="856" t="s">
        <v>50</v>
      </c>
      <c r="C23" s="111"/>
      <c r="D23" s="111"/>
      <c r="E23" s="111"/>
      <c r="F23" s="111"/>
      <c r="G23" s="111"/>
      <c r="H23" s="111"/>
      <c r="I23" s="111"/>
      <c r="J23" s="111"/>
      <c r="K23" s="111"/>
      <c r="L23" s="111"/>
      <c r="M23" s="111"/>
      <c r="N23" s="111"/>
      <c r="O23" s="111"/>
    </row>
    <row r="24" spans="1:16" s="139" customFormat="1" ht="15" customHeight="1">
      <c r="B24" s="856" t="s">
        <v>51</v>
      </c>
      <c r="C24" s="111"/>
      <c r="D24" s="111"/>
      <c r="E24" s="111"/>
      <c r="F24" s="111"/>
      <c r="G24" s="111"/>
      <c r="H24" s="111"/>
      <c r="I24" s="111"/>
      <c r="J24" s="111"/>
      <c r="K24" s="111"/>
      <c r="L24" s="111"/>
      <c r="M24" s="111"/>
      <c r="N24" s="111"/>
      <c r="O24" s="111"/>
    </row>
    <row r="25" spans="1:16" s="139" customFormat="1" ht="15" customHeight="1">
      <c r="B25" s="856" t="s">
        <v>52</v>
      </c>
      <c r="C25" s="111"/>
      <c r="D25" s="111"/>
      <c r="E25" s="111"/>
      <c r="F25" s="111"/>
      <c r="G25" s="111"/>
      <c r="H25" s="111"/>
      <c r="I25" s="111"/>
      <c r="J25" s="111"/>
      <c r="K25" s="111"/>
      <c r="L25" s="111"/>
      <c r="M25" s="111"/>
      <c r="N25" s="111"/>
      <c r="O25" s="111"/>
    </row>
    <row r="26" spans="1:16" s="139" customFormat="1" ht="15" customHeight="1">
      <c r="B26" s="932" t="s">
        <v>655</v>
      </c>
      <c r="C26" s="111"/>
      <c r="D26" s="111"/>
      <c r="E26" s="111"/>
      <c r="F26" s="111"/>
      <c r="G26" s="111"/>
      <c r="H26" s="111"/>
      <c r="I26" s="111"/>
      <c r="J26" s="111"/>
      <c r="K26" s="111"/>
      <c r="L26" s="111"/>
      <c r="M26" s="111"/>
      <c r="N26" s="111"/>
      <c r="O26" s="111"/>
    </row>
    <row r="27" spans="1:16" s="139" customFormat="1" ht="15" customHeight="1">
      <c r="B27" s="932" t="s">
        <v>54</v>
      </c>
      <c r="C27" s="111"/>
      <c r="D27" s="111"/>
      <c r="E27" s="111"/>
      <c r="F27" s="111"/>
      <c r="G27" s="111"/>
      <c r="H27" s="111"/>
      <c r="I27" s="111"/>
      <c r="J27" s="111"/>
      <c r="K27" s="111"/>
      <c r="L27" s="111"/>
      <c r="M27" s="111"/>
      <c r="N27" s="111"/>
      <c r="O27" s="111"/>
    </row>
    <row r="28" spans="1:16" s="139" customFormat="1" ht="15" customHeight="1">
      <c r="B28" s="932" t="s">
        <v>656</v>
      </c>
      <c r="C28" s="111"/>
      <c r="D28" s="111"/>
      <c r="E28" s="111"/>
      <c r="F28" s="111"/>
      <c r="G28" s="111"/>
      <c r="H28" s="111"/>
      <c r="I28" s="111"/>
      <c r="J28" s="111"/>
      <c r="K28" s="111"/>
      <c r="L28" s="111"/>
      <c r="M28" s="111"/>
      <c r="N28" s="111"/>
      <c r="O28" s="111"/>
    </row>
    <row r="29" spans="1:16" s="139" customFormat="1" ht="15" customHeight="1">
      <c r="B29" s="932" t="s">
        <v>680</v>
      </c>
      <c r="C29" s="111"/>
      <c r="D29" s="111"/>
      <c r="E29" s="111"/>
      <c r="F29" s="111"/>
      <c r="G29" s="111"/>
      <c r="H29" s="111"/>
      <c r="I29" s="111"/>
      <c r="J29" s="111"/>
      <c r="K29" s="111"/>
      <c r="L29" s="111"/>
      <c r="M29" s="111"/>
      <c r="N29" s="111"/>
      <c r="O29" s="111"/>
    </row>
    <row r="30" spans="1:16" ht="12.75" customHeight="1">
      <c r="A30" s="139"/>
      <c r="B30" s="1207" t="s">
        <v>182</v>
      </c>
      <c r="C30" s="1207"/>
      <c r="D30" s="1207"/>
      <c r="E30" s="1207"/>
      <c r="F30" s="1207"/>
      <c r="G30" s="1207"/>
      <c r="H30" s="1207"/>
      <c r="I30" s="1207"/>
      <c r="J30" s="1207"/>
      <c r="K30" s="1207"/>
      <c r="L30" s="1207"/>
      <c r="M30" s="1207"/>
      <c r="N30" s="1207"/>
      <c r="O30" s="1207"/>
      <c r="P30" s="139"/>
    </row>
    <row r="31" spans="1:16">
      <c r="B31" s="1208" t="s">
        <v>441</v>
      </c>
      <c r="C31" s="1208"/>
      <c r="D31" s="1208"/>
      <c r="E31" s="1208"/>
      <c r="F31" s="1208"/>
      <c r="G31" s="1208"/>
      <c r="H31" s="1208"/>
      <c r="I31" s="1208"/>
      <c r="J31" s="1208"/>
      <c r="K31" s="1208"/>
      <c r="L31" s="1208"/>
      <c r="M31" s="1208"/>
      <c r="N31" s="1208"/>
      <c r="O31" s="1208"/>
    </row>
    <row r="32" spans="1:16" ht="12.75" customHeight="1">
      <c r="B32" s="1212" t="s">
        <v>593</v>
      </c>
      <c r="C32" s="1212"/>
      <c r="D32" s="1212"/>
      <c r="E32" s="1212"/>
    </row>
    <row r="33" spans="2:15" ht="12.75" customHeight="1">
      <c r="B33" s="1213" t="s">
        <v>592</v>
      </c>
      <c r="C33" s="1213"/>
      <c r="D33" s="1213"/>
      <c r="E33" s="1213"/>
    </row>
    <row r="34" spans="2:15" ht="7.5" customHeight="1"/>
    <row r="35" spans="2:15">
      <c r="B35" s="1198" t="s">
        <v>555</v>
      </c>
      <c r="C35" s="1199"/>
      <c r="D35" s="111"/>
      <c r="E35" s="111"/>
      <c r="F35" s="111"/>
      <c r="G35" s="111"/>
      <c r="H35" s="111"/>
      <c r="I35" s="111"/>
      <c r="J35" s="111"/>
      <c r="K35" s="111"/>
      <c r="L35" s="111"/>
      <c r="M35" s="111"/>
      <c r="N35" s="111"/>
      <c r="O35" s="111"/>
    </row>
    <row r="36" spans="2:15">
      <c r="B36" s="1198" t="s">
        <v>556</v>
      </c>
      <c r="C36" s="1199"/>
      <c r="D36" s="111">
        <v>7.9379153289030002</v>
      </c>
      <c r="E36" s="111">
        <v>5.3245594004939996</v>
      </c>
      <c r="F36" s="111">
        <v>37.639553429027004</v>
      </c>
      <c r="G36" s="111">
        <v>27.872340425531998</v>
      </c>
      <c r="H36" s="111">
        <v>63.964534515516</v>
      </c>
      <c r="I36" s="111">
        <v>3.5872108136210001</v>
      </c>
      <c r="J36" s="111">
        <v>3.1884057971009998</v>
      </c>
      <c r="K36" s="111">
        <v>15.794871794872</v>
      </c>
      <c r="L36" s="111">
        <v>15.893027698185</v>
      </c>
      <c r="M36" s="111">
        <v>-21.296884933249</v>
      </c>
      <c r="N36" s="111">
        <v>27.171470444553002</v>
      </c>
      <c r="O36" s="111">
        <v>7.9268292682929999</v>
      </c>
    </row>
    <row r="37" spans="2:15">
      <c r="B37" s="1198" t="s">
        <v>557</v>
      </c>
      <c r="C37" s="1199"/>
      <c r="D37" s="111">
        <v>-11.143124961583</v>
      </c>
      <c r="E37" s="111">
        <v>-10.047779028640999</v>
      </c>
      <c r="F37" s="111">
        <v>-8.7014017455699992</v>
      </c>
      <c r="G37" s="111">
        <v>4.8865619546249999</v>
      </c>
      <c r="H37" s="111">
        <v>-23.277522595939999</v>
      </c>
      <c r="I37" s="111">
        <v>-23.099189502123</v>
      </c>
      <c r="J37" s="111">
        <v>-26.293995859212998</v>
      </c>
      <c r="K37" s="111">
        <v>-9.0176484809410002</v>
      </c>
      <c r="L37" s="111">
        <v>-0.11524530786999999</v>
      </c>
      <c r="M37" s="111">
        <v>-22.138364779873999</v>
      </c>
      <c r="N37" s="111">
        <v>-16.204210390781</v>
      </c>
      <c r="O37" s="111">
        <v>-39.383561643836003</v>
      </c>
    </row>
    <row r="38" spans="2:15">
      <c r="B38" s="1197" t="s">
        <v>558</v>
      </c>
      <c r="C38" s="1197"/>
      <c r="D38" s="111">
        <v>-11.143124961583</v>
      </c>
      <c r="E38" s="111">
        <v>-10.047779028640999</v>
      </c>
      <c r="F38" s="111">
        <v>-8.7014017455699992</v>
      </c>
      <c r="G38" s="111">
        <v>4.8865619546249999</v>
      </c>
      <c r="H38" s="111">
        <v>-23.277522595939999</v>
      </c>
      <c r="I38" s="111">
        <v>-23.099189502123</v>
      </c>
      <c r="J38" s="111">
        <v>-26.293995859212998</v>
      </c>
      <c r="K38" s="111">
        <v>-9.0176484809410002</v>
      </c>
      <c r="L38" s="111">
        <v>-0.11524530786999999</v>
      </c>
      <c r="M38" s="111">
        <v>-22.138364779873999</v>
      </c>
      <c r="N38" s="111">
        <v>-16.204210390781</v>
      </c>
      <c r="O38" s="111">
        <v>-39.383561643836003</v>
      </c>
    </row>
  </sheetData>
  <mergeCells count="26">
    <mergeCell ref="D6:D7"/>
    <mergeCell ref="H6:H7"/>
    <mergeCell ref="O6:O7"/>
    <mergeCell ref="B32:E32"/>
    <mergeCell ref="B33:E33"/>
    <mergeCell ref="E6:G6"/>
    <mergeCell ref="I6:I7"/>
    <mergeCell ref="N6:N7"/>
    <mergeCell ref="J6:J7"/>
    <mergeCell ref="M6:M7"/>
    <mergeCell ref="B38:C38"/>
    <mergeCell ref="B37:C37"/>
    <mergeCell ref="B36:C36"/>
    <mergeCell ref="B35:C35"/>
    <mergeCell ref="B1:O1"/>
    <mergeCell ref="D5:J5"/>
    <mergeCell ref="B3:O3"/>
    <mergeCell ref="B4:O4"/>
    <mergeCell ref="K5:O5"/>
    <mergeCell ref="C5:C7"/>
    <mergeCell ref="L6:L7"/>
    <mergeCell ref="K6:K7"/>
    <mergeCell ref="B17:O17"/>
    <mergeCell ref="B30:O30"/>
    <mergeCell ref="B31:O31"/>
    <mergeCell ref="B5:B7"/>
  </mergeCells>
  <phoneticPr fontId="43" type="noConversion"/>
  <printOptions horizontalCentered="1"/>
  <pageMargins left="0.70866141732283472" right="0.70866141732283472" top="0.74803149606299213" bottom="0.74803149606299213" header="0.31496062992125984" footer="0.31496062992125984"/>
  <pageSetup paperSize="126"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L35"/>
  <sheetViews>
    <sheetView zoomScaleNormal="100" workbookViewId="0">
      <pane ySplit="1" topLeftCell="A2" activePane="bottomLeft" state="frozen"/>
      <selection pane="bottomLeft" activeCell="D33" sqref="D33:K35"/>
    </sheetView>
  </sheetViews>
  <sheetFormatPr baseColWidth="10" defaultColWidth="5.81640625" defaultRowHeight="12.75"/>
  <cols>
    <col min="1" max="1" width="2.7265625" style="109" customWidth="1"/>
    <col min="2" max="2" width="6.90625" style="109" customWidth="1"/>
    <col min="3" max="11" width="8.90625" style="109" customWidth="1"/>
    <col min="12" max="16384" width="5.81640625" style="109"/>
  </cols>
  <sheetData>
    <row r="1" spans="2:12" ht="12.75" customHeight="1">
      <c r="B1" s="1200" t="s">
        <v>388</v>
      </c>
      <c r="C1" s="1200"/>
      <c r="D1" s="1200"/>
      <c r="E1" s="1200"/>
      <c r="F1" s="1200"/>
      <c r="G1" s="1200"/>
      <c r="H1" s="1200"/>
      <c r="I1" s="1200"/>
      <c r="J1" s="1200"/>
      <c r="K1" s="1200"/>
    </row>
    <row r="2" spans="2:12" ht="12.75" customHeight="1">
      <c r="B2" s="924"/>
      <c r="C2" s="924"/>
      <c r="D2" s="924"/>
      <c r="E2" s="924"/>
      <c r="F2" s="924"/>
      <c r="G2" s="924"/>
      <c r="H2" s="924"/>
      <c r="I2" s="924"/>
      <c r="J2" s="924"/>
      <c r="K2" s="924"/>
    </row>
    <row r="3" spans="2:12" ht="12.75" customHeight="1">
      <c r="B3" s="1200" t="s">
        <v>121</v>
      </c>
      <c r="C3" s="1200"/>
      <c r="D3" s="1200"/>
      <c r="E3" s="1200"/>
      <c r="F3" s="1200"/>
      <c r="G3" s="1200"/>
      <c r="H3" s="1200"/>
      <c r="I3" s="1200"/>
      <c r="J3" s="1200"/>
      <c r="K3" s="1200"/>
    </row>
    <row r="4" spans="2:12" ht="16.5" customHeight="1">
      <c r="B4" s="1222" t="s">
        <v>166</v>
      </c>
      <c r="C4" s="1222"/>
      <c r="D4" s="1222"/>
      <c r="E4" s="1222"/>
      <c r="F4" s="1222"/>
      <c r="G4" s="1222"/>
      <c r="H4" s="1222"/>
      <c r="I4" s="1222"/>
      <c r="J4" s="1222"/>
      <c r="K4" s="1222"/>
    </row>
    <row r="5" spans="2:12" ht="65.25" customHeight="1">
      <c r="B5" s="870" t="s">
        <v>160</v>
      </c>
      <c r="C5" s="869" t="s">
        <v>64</v>
      </c>
      <c r="D5" s="868" t="s">
        <v>172</v>
      </c>
      <c r="E5" s="868" t="s">
        <v>174</v>
      </c>
      <c r="F5" s="587" t="s">
        <v>508</v>
      </c>
      <c r="G5" s="587" t="s">
        <v>461</v>
      </c>
      <c r="H5" s="224" t="s">
        <v>177</v>
      </c>
      <c r="I5" s="224" t="s">
        <v>178</v>
      </c>
      <c r="J5" s="224" t="s">
        <v>173</v>
      </c>
      <c r="K5" s="587" t="s">
        <v>512</v>
      </c>
      <c r="L5" s="223"/>
    </row>
    <row r="6" spans="2:12" ht="12.75" customHeight="1">
      <c r="B6" s="904">
        <v>2013</v>
      </c>
      <c r="C6" s="111">
        <v>1922480</v>
      </c>
      <c r="D6" s="111">
        <v>137549</v>
      </c>
      <c r="E6" s="111">
        <v>178615</v>
      </c>
      <c r="F6" s="111">
        <v>235036</v>
      </c>
      <c r="G6" s="111"/>
      <c r="H6" s="111">
        <v>173520</v>
      </c>
      <c r="I6" s="111">
        <v>149153</v>
      </c>
      <c r="J6" s="111">
        <v>878174</v>
      </c>
      <c r="K6" s="111">
        <v>170433</v>
      </c>
      <c r="L6" s="223"/>
    </row>
    <row r="7" spans="2:12" ht="12.75" customHeight="1">
      <c r="B7" s="116">
        <v>2014</v>
      </c>
      <c r="C7" s="111">
        <v>1968268</v>
      </c>
      <c r="D7" s="111">
        <v>131770</v>
      </c>
      <c r="E7" s="111">
        <v>179811</v>
      </c>
      <c r="F7" s="111">
        <v>284729</v>
      </c>
      <c r="G7" s="111"/>
      <c r="H7" s="111">
        <v>161087</v>
      </c>
      <c r="I7" s="111">
        <v>152276</v>
      </c>
      <c r="J7" s="111">
        <v>894788</v>
      </c>
      <c r="K7" s="111">
        <v>163807</v>
      </c>
    </row>
    <row r="8" spans="2:12">
      <c r="B8" s="116">
        <v>2015</v>
      </c>
      <c r="C8" s="111">
        <v>1962342</v>
      </c>
      <c r="D8" s="111">
        <v>127735</v>
      </c>
      <c r="E8" s="111">
        <v>181298</v>
      </c>
      <c r="F8" s="111">
        <v>251442</v>
      </c>
      <c r="G8" s="111"/>
      <c r="H8" s="111">
        <v>164014</v>
      </c>
      <c r="I8" s="111">
        <v>150320</v>
      </c>
      <c r="J8" s="111">
        <v>926978</v>
      </c>
      <c r="K8" s="111">
        <v>160555</v>
      </c>
      <c r="L8" s="160"/>
    </row>
    <row r="9" spans="2:12">
      <c r="B9" s="116">
        <v>2016</v>
      </c>
      <c r="C9" s="111">
        <v>2028168</v>
      </c>
      <c r="D9" s="111">
        <v>127138</v>
      </c>
      <c r="E9" s="111">
        <v>187899</v>
      </c>
      <c r="F9" s="111">
        <v>275229</v>
      </c>
      <c r="G9" s="111"/>
      <c r="H9" s="111">
        <v>159667</v>
      </c>
      <c r="I9" s="111">
        <v>140551</v>
      </c>
      <c r="J9" s="111">
        <v>964310</v>
      </c>
      <c r="K9" s="111">
        <v>173374</v>
      </c>
    </row>
    <row r="10" spans="2:12">
      <c r="B10" s="116">
        <v>2017</v>
      </c>
      <c r="C10" s="111">
        <v>2018526</v>
      </c>
      <c r="D10" s="111">
        <v>128706</v>
      </c>
      <c r="E10" s="111">
        <v>192665</v>
      </c>
      <c r="F10" s="111">
        <v>231998</v>
      </c>
      <c r="G10" s="111">
        <v>29436</v>
      </c>
      <c r="H10" s="111">
        <v>157481</v>
      </c>
      <c r="I10" s="111">
        <v>146500</v>
      </c>
      <c r="J10" s="111">
        <v>956918</v>
      </c>
      <c r="K10" s="111">
        <v>174832</v>
      </c>
    </row>
    <row r="11" spans="2:12">
      <c r="B11" s="597">
        <v>2018</v>
      </c>
      <c r="C11" s="111">
        <v>2089336</v>
      </c>
      <c r="D11" s="111">
        <v>136101</v>
      </c>
      <c r="E11" s="111">
        <v>179623</v>
      </c>
      <c r="F11" s="111">
        <v>159076</v>
      </c>
      <c r="G11" s="111">
        <v>122592</v>
      </c>
      <c r="H11" s="111">
        <v>156131</v>
      </c>
      <c r="I11" s="111">
        <v>162196</v>
      </c>
      <c r="J11" s="111">
        <v>1010545</v>
      </c>
      <c r="K11" s="111">
        <v>163072</v>
      </c>
    </row>
    <row r="12" spans="2:12">
      <c r="B12" s="597">
        <v>2019</v>
      </c>
      <c r="C12" s="111">
        <v>2093498</v>
      </c>
      <c r="D12" s="111">
        <v>144552</v>
      </c>
      <c r="E12" s="111">
        <v>178721</v>
      </c>
      <c r="F12" s="111">
        <v>162772</v>
      </c>
      <c r="G12" s="111">
        <v>123547</v>
      </c>
      <c r="H12" s="111">
        <v>142410</v>
      </c>
      <c r="I12" s="111">
        <v>148835</v>
      </c>
      <c r="J12" s="111">
        <v>1038944</v>
      </c>
      <c r="K12" s="111">
        <v>153717</v>
      </c>
    </row>
    <row r="13" spans="2:12">
      <c r="B13" s="597" t="s">
        <v>535</v>
      </c>
      <c r="C13" s="111">
        <v>2003727</v>
      </c>
      <c r="D13" s="111">
        <v>140499</v>
      </c>
      <c r="E13" s="111">
        <v>148168</v>
      </c>
      <c r="F13" s="111">
        <v>142907</v>
      </c>
      <c r="G13" s="111">
        <v>124330</v>
      </c>
      <c r="H13" s="111">
        <v>131982</v>
      </c>
      <c r="I13" s="111">
        <v>145096</v>
      </c>
      <c r="J13" s="111">
        <v>1021541</v>
      </c>
      <c r="K13" s="111">
        <v>149204</v>
      </c>
    </row>
    <row r="14" spans="2:12">
      <c r="B14" s="1219"/>
      <c r="C14" s="1220"/>
      <c r="D14" s="1220"/>
      <c r="E14" s="1220"/>
      <c r="F14" s="1220"/>
      <c r="G14" s="1220"/>
      <c r="H14" s="1220"/>
      <c r="I14" s="1220"/>
      <c r="J14" s="1220"/>
      <c r="K14" s="1221"/>
    </row>
    <row r="15" spans="2:12" s="139" customFormat="1" ht="13.5" customHeight="1">
      <c r="B15" s="1204" t="s">
        <v>724</v>
      </c>
      <c r="C15" s="1205"/>
      <c r="D15" s="1205"/>
      <c r="E15" s="1205"/>
      <c r="F15" s="1205"/>
      <c r="G15" s="1205"/>
      <c r="H15" s="1205"/>
      <c r="I15" s="1205"/>
      <c r="J15" s="1205"/>
      <c r="K15" s="1206"/>
    </row>
    <row r="16" spans="2:12" s="139" customFormat="1" ht="13.5" customHeight="1">
      <c r="B16" s="110" t="s">
        <v>47</v>
      </c>
      <c r="C16" s="803">
        <v>149519</v>
      </c>
      <c r="D16" s="803">
        <v>11781</v>
      </c>
      <c r="E16" s="803">
        <v>8282</v>
      </c>
      <c r="F16" s="803">
        <v>12284</v>
      </c>
      <c r="G16" s="803">
        <v>8538</v>
      </c>
      <c r="H16" s="803">
        <v>8257</v>
      </c>
      <c r="I16" s="803">
        <v>11337</v>
      </c>
      <c r="J16" s="803">
        <v>77291</v>
      </c>
      <c r="K16" s="803">
        <v>11749</v>
      </c>
      <c r="L16" s="626"/>
    </row>
    <row r="17" spans="2:12" s="139" customFormat="1" ht="13.5" customHeight="1">
      <c r="B17" s="110" t="s">
        <v>48</v>
      </c>
      <c r="C17" s="803"/>
      <c r="D17" s="803"/>
      <c r="E17" s="803"/>
      <c r="F17" s="803"/>
      <c r="G17" s="803"/>
      <c r="H17" s="803"/>
      <c r="I17" s="803"/>
      <c r="J17" s="803"/>
      <c r="K17" s="803"/>
      <c r="L17" s="626"/>
    </row>
    <row r="18" spans="2:12" s="139" customFormat="1" ht="13.5" customHeight="1">
      <c r="B18" s="581" t="s">
        <v>49</v>
      </c>
      <c r="C18" s="803"/>
      <c r="D18" s="803"/>
      <c r="E18" s="803"/>
      <c r="F18" s="803"/>
      <c r="G18" s="803"/>
      <c r="H18" s="803"/>
      <c r="I18" s="803"/>
      <c r="J18" s="803"/>
      <c r="K18" s="803"/>
      <c r="L18" s="626"/>
    </row>
    <row r="19" spans="2:12" s="139" customFormat="1" ht="13.5" customHeight="1">
      <c r="B19" s="581" t="s">
        <v>57</v>
      </c>
      <c r="C19" s="803"/>
      <c r="D19" s="803"/>
      <c r="E19" s="803"/>
      <c r="F19" s="803"/>
      <c r="G19" s="803"/>
      <c r="H19" s="803"/>
      <c r="I19" s="803"/>
      <c r="J19" s="803"/>
      <c r="K19" s="803"/>
      <c r="L19" s="626"/>
    </row>
    <row r="20" spans="2:12" s="139" customFormat="1" ht="13.5" customHeight="1">
      <c r="B20" s="581" t="s">
        <v>58</v>
      </c>
      <c r="C20" s="803"/>
      <c r="D20" s="803"/>
      <c r="E20" s="803"/>
      <c r="F20" s="803"/>
      <c r="G20" s="803"/>
      <c r="H20" s="803"/>
      <c r="I20" s="803"/>
      <c r="J20" s="803"/>
      <c r="K20" s="803"/>
      <c r="L20" s="626"/>
    </row>
    <row r="21" spans="2:12" s="139" customFormat="1" ht="13.5" customHeight="1">
      <c r="B21" s="581" t="s">
        <v>50</v>
      </c>
      <c r="C21" s="803"/>
      <c r="D21" s="803"/>
      <c r="E21" s="803"/>
      <c r="F21" s="803"/>
      <c r="G21" s="803"/>
      <c r="H21" s="803"/>
      <c r="I21" s="803"/>
      <c r="J21" s="803"/>
      <c r="K21" s="803"/>
      <c r="L21" s="626"/>
    </row>
    <row r="22" spans="2:12" s="139" customFormat="1" ht="13.5" customHeight="1">
      <c r="B22" s="581" t="s">
        <v>51</v>
      </c>
      <c r="C22" s="803"/>
      <c r="D22" s="803"/>
      <c r="E22" s="803"/>
      <c r="F22" s="803"/>
      <c r="G22" s="803"/>
      <c r="H22" s="803"/>
      <c r="I22" s="803"/>
      <c r="J22" s="803"/>
      <c r="K22" s="803"/>
      <c r="L22" s="626"/>
    </row>
    <row r="23" spans="2:12" s="139" customFormat="1" ht="13.5" customHeight="1">
      <c r="B23" s="581" t="s">
        <v>52</v>
      </c>
      <c r="C23" s="803"/>
      <c r="D23" s="803"/>
      <c r="E23" s="803"/>
      <c r="F23" s="803"/>
      <c r="G23" s="803"/>
      <c r="H23" s="803"/>
      <c r="I23" s="803"/>
      <c r="J23" s="803"/>
      <c r="K23" s="803"/>
      <c r="L23" s="626"/>
    </row>
    <row r="24" spans="2:12" s="139" customFormat="1" ht="13.5" customHeight="1">
      <c r="B24" s="581" t="s">
        <v>53</v>
      </c>
      <c r="C24" s="803"/>
      <c r="D24" s="803"/>
      <c r="E24" s="803"/>
      <c r="F24" s="803"/>
      <c r="G24" s="803"/>
      <c r="H24" s="803"/>
      <c r="I24" s="803"/>
      <c r="J24" s="803"/>
      <c r="K24" s="803"/>
      <c r="L24" s="626"/>
    </row>
    <row r="25" spans="2:12" s="139" customFormat="1" ht="13.5" customHeight="1">
      <c r="B25" s="581" t="s">
        <v>54</v>
      </c>
      <c r="C25" s="803"/>
      <c r="D25" s="803"/>
      <c r="E25" s="803"/>
      <c r="F25" s="803"/>
      <c r="G25" s="803"/>
      <c r="H25" s="803"/>
      <c r="I25" s="803"/>
      <c r="J25" s="803"/>
      <c r="K25" s="803"/>
      <c r="L25" s="626"/>
    </row>
    <row r="26" spans="2:12" s="139" customFormat="1" ht="13.5" customHeight="1">
      <c r="B26" s="581" t="s">
        <v>55</v>
      </c>
      <c r="C26" s="803"/>
      <c r="D26" s="803"/>
      <c r="E26" s="803"/>
      <c r="F26" s="803"/>
      <c r="G26" s="803"/>
      <c r="H26" s="803"/>
      <c r="I26" s="803"/>
      <c r="J26" s="803"/>
      <c r="K26" s="803"/>
      <c r="L26" s="626"/>
    </row>
    <row r="27" spans="2:12" s="139" customFormat="1" ht="13.5" customHeight="1">
      <c r="B27" s="581" t="s">
        <v>56</v>
      </c>
      <c r="C27" s="803"/>
      <c r="D27" s="803"/>
      <c r="E27" s="803"/>
      <c r="F27" s="803"/>
      <c r="G27" s="803"/>
      <c r="H27" s="803"/>
      <c r="I27" s="803"/>
      <c r="J27" s="803"/>
      <c r="K27" s="803"/>
      <c r="L27" s="626"/>
    </row>
    <row r="28" spans="2:12" ht="12.95" customHeight="1">
      <c r="B28" s="1223" t="s">
        <v>182</v>
      </c>
      <c r="C28" s="1223"/>
      <c r="D28" s="648"/>
      <c r="E28" s="648"/>
      <c r="F28" s="648"/>
      <c r="G28" s="648"/>
      <c r="H28" s="648"/>
      <c r="I28" s="648"/>
      <c r="J28" s="648"/>
      <c r="K28" s="648"/>
      <c r="L28" s="648"/>
    </row>
    <row r="29" spans="2:12" ht="12.75" customHeight="1">
      <c r="B29" s="1208" t="s">
        <v>441</v>
      </c>
      <c r="C29" s="1208"/>
      <c r="D29" s="1208"/>
      <c r="E29" s="1208"/>
      <c r="F29" s="1208"/>
      <c r="G29" s="1208"/>
      <c r="H29" s="1208"/>
      <c r="I29" s="1208"/>
      <c r="J29" s="1208"/>
      <c r="K29" s="648"/>
      <c r="L29" s="648"/>
    </row>
    <row r="30" spans="2:12">
      <c r="B30" s="1213" t="s">
        <v>450</v>
      </c>
      <c r="C30" s="1213"/>
    </row>
    <row r="31" spans="2:12">
      <c r="C31" s="148"/>
      <c r="D31" s="148"/>
      <c r="E31" s="148"/>
      <c r="F31" s="148"/>
      <c r="G31" s="148"/>
      <c r="H31" s="148"/>
      <c r="I31" s="148"/>
      <c r="J31" s="148"/>
    </row>
    <row r="32" spans="2:12">
      <c r="B32" s="1217" t="s">
        <v>555</v>
      </c>
      <c r="C32" s="1218"/>
      <c r="D32" s="803"/>
      <c r="E32" s="803"/>
      <c r="F32" s="803"/>
      <c r="G32" s="803"/>
      <c r="H32" s="803"/>
      <c r="I32" s="803"/>
      <c r="J32" s="803"/>
      <c r="K32" s="803"/>
    </row>
    <row r="33" spans="2:12">
      <c r="B33" s="1217" t="s">
        <v>556</v>
      </c>
      <c r="C33" s="1218"/>
      <c r="D33" s="803">
        <v>13.650395523827999</v>
      </c>
      <c r="E33" s="803">
        <v>-23.661166927827001</v>
      </c>
      <c r="F33" s="803">
        <v>16.513326377691001</v>
      </c>
      <c r="G33" s="803">
        <v>-2.5676138308800001</v>
      </c>
      <c r="H33" s="803">
        <v>15.417948001118001</v>
      </c>
      <c r="I33" s="803">
        <v>22.854356306892001</v>
      </c>
      <c r="J33" s="803">
        <v>10.848021569837</v>
      </c>
      <c r="K33" s="803">
        <v>20.329782875871</v>
      </c>
      <c r="L33" s="190"/>
    </row>
    <row r="34" spans="2:12">
      <c r="B34" s="1216" t="s">
        <v>557</v>
      </c>
      <c r="C34" s="1216"/>
      <c r="D34" s="803">
        <v>9.5499349079409992</v>
      </c>
      <c r="E34" s="803">
        <v>-27.369990353416</v>
      </c>
      <c r="F34" s="803">
        <v>-14.611427777005</v>
      </c>
      <c r="G34" s="803">
        <v>-10.550026191722999</v>
      </c>
      <c r="H34" s="803">
        <v>-25.786446162143001</v>
      </c>
      <c r="I34" s="803">
        <v>-2.8451452566629998</v>
      </c>
      <c r="J34" s="803">
        <v>-8.9944660308490008</v>
      </c>
      <c r="K34" s="803">
        <v>-13.393778564057</v>
      </c>
      <c r="L34" s="190"/>
    </row>
    <row r="35" spans="2:12">
      <c r="B35" s="1216" t="s">
        <v>558</v>
      </c>
      <c r="C35" s="1216"/>
      <c r="D35" s="803">
        <v>9.5499349079409992</v>
      </c>
      <c r="E35" s="803">
        <v>-27.369990353416</v>
      </c>
      <c r="F35" s="803">
        <v>-14.611427777005</v>
      </c>
      <c r="G35" s="803">
        <v>-10.550026191722999</v>
      </c>
      <c r="H35" s="803">
        <v>-25.786446162143001</v>
      </c>
      <c r="I35" s="803">
        <v>-2.8451452566629998</v>
      </c>
      <c r="J35" s="803">
        <v>-8.9944660308490008</v>
      </c>
      <c r="K35" s="803">
        <v>-13.393778564057</v>
      </c>
      <c r="L35" s="190"/>
    </row>
  </sheetData>
  <mergeCells count="12">
    <mergeCell ref="B29:J29"/>
    <mergeCell ref="B14:K14"/>
    <mergeCell ref="B1:K1"/>
    <mergeCell ref="B3:K3"/>
    <mergeCell ref="B4:K4"/>
    <mergeCell ref="B28:C28"/>
    <mergeCell ref="B15:K15"/>
    <mergeCell ref="B35:C35"/>
    <mergeCell ref="B34:C34"/>
    <mergeCell ref="B33:C33"/>
    <mergeCell ref="B32:C32"/>
    <mergeCell ref="B30:C30"/>
  </mergeCells>
  <phoneticPr fontId="43"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S32"/>
  <sheetViews>
    <sheetView topLeftCell="A10" zoomScaleNormal="100" workbookViewId="0">
      <selection activeCell="V7" sqref="V7"/>
    </sheetView>
  </sheetViews>
  <sheetFormatPr baseColWidth="10" defaultColWidth="10.90625" defaultRowHeight="12.75"/>
  <cols>
    <col min="1" max="1" width="2.6328125" style="685" customWidth="1"/>
    <col min="2" max="2" width="7.36328125" style="685" customWidth="1"/>
    <col min="3" max="3" width="7.26953125" style="685" customWidth="1"/>
    <col min="4" max="4" width="7.26953125" style="685" hidden="1" customWidth="1"/>
    <col min="5" max="5" width="7.6328125" style="685" customWidth="1"/>
    <col min="6" max="6" width="7.26953125" style="685" hidden="1" customWidth="1"/>
    <col min="7" max="7" width="7.6328125" style="685" customWidth="1"/>
    <col min="8" max="8" width="7.26953125" style="685" hidden="1" customWidth="1"/>
    <col min="9" max="9" width="7.6328125" style="685" customWidth="1"/>
    <col min="10" max="10" width="7.26953125" style="685" hidden="1" customWidth="1"/>
    <col min="11" max="11" width="7.6328125" style="685" customWidth="1"/>
    <col min="12" max="12" width="7.26953125" style="685" hidden="1" customWidth="1"/>
    <col min="13" max="13" width="7.6328125" style="685" customWidth="1"/>
    <col min="14" max="14" width="7.26953125" style="685" hidden="1" customWidth="1"/>
    <col min="15" max="15" width="7.6328125" style="685" customWidth="1"/>
    <col min="16" max="16" width="7.26953125" style="685" hidden="1" customWidth="1"/>
    <col min="17" max="17" width="7.6328125" style="685" customWidth="1"/>
    <col min="18" max="18" width="7.26953125" style="685" hidden="1" customWidth="1"/>
    <col min="19" max="19" width="8.6328125" style="685" customWidth="1"/>
    <col min="20" max="20" width="2.6328125" style="685" customWidth="1"/>
    <col min="21" max="16384" width="10.90625" style="685"/>
  </cols>
  <sheetData>
    <row r="1" spans="2:19" s="684" customFormat="1" ht="12.75" customHeight="1">
      <c r="B1" s="1104" t="s">
        <v>498</v>
      </c>
      <c r="C1" s="1104"/>
      <c r="D1" s="1104"/>
      <c r="E1" s="1104"/>
      <c r="F1" s="1104"/>
      <c r="G1" s="1104"/>
      <c r="H1" s="1104"/>
      <c r="I1" s="1104"/>
      <c r="J1" s="1104"/>
      <c r="K1" s="1104"/>
      <c r="L1" s="1104"/>
      <c r="M1" s="1104"/>
      <c r="N1" s="1104"/>
      <c r="O1" s="1104"/>
      <c r="P1" s="1104"/>
      <c r="Q1" s="1104"/>
      <c r="R1" s="1104"/>
      <c r="S1" s="1104"/>
    </row>
    <row r="2" spans="2:19" s="684" customFormat="1" ht="12.75" customHeight="1">
      <c r="B2" s="923"/>
      <c r="C2" s="923"/>
      <c r="D2" s="923"/>
      <c r="E2" s="923"/>
      <c r="F2" s="923"/>
      <c r="G2" s="923"/>
      <c r="H2" s="923"/>
      <c r="I2" s="923"/>
      <c r="J2" s="923"/>
      <c r="K2" s="923"/>
      <c r="L2" s="923"/>
      <c r="M2" s="923"/>
      <c r="N2" s="923"/>
      <c r="O2" s="923"/>
      <c r="P2" s="923"/>
      <c r="Q2" s="923"/>
      <c r="R2" s="923"/>
      <c r="S2" s="923"/>
    </row>
    <row r="3" spans="2:19" s="684" customFormat="1" ht="14.25" customHeight="1">
      <c r="B3" s="1104" t="s">
        <v>499</v>
      </c>
      <c r="C3" s="1104"/>
      <c r="D3" s="1104"/>
      <c r="E3" s="1104"/>
      <c r="F3" s="1104"/>
      <c r="G3" s="1104"/>
      <c r="H3" s="1104"/>
      <c r="I3" s="1104"/>
      <c r="J3" s="1104"/>
      <c r="K3" s="1104"/>
      <c r="L3" s="1104"/>
      <c r="M3" s="1104"/>
      <c r="N3" s="1104"/>
      <c r="O3" s="1104"/>
      <c r="P3" s="1104"/>
      <c r="Q3" s="1104"/>
      <c r="R3" s="1104"/>
      <c r="S3" s="1104"/>
    </row>
    <row r="4" spans="2:19" ht="14.25" customHeight="1">
      <c r="B4" s="1104" t="s">
        <v>166</v>
      </c>
      <c r="C4" s="1104"/>
      <c r="D4" s="1104"/>
      <c r="E4" s="1104"/>
      <c r="F4" s="1104"/>
      <c r="G4" s="1104"/>
      <c r="H4" s="1104"/>
      <c r="I4" s="1104"/>
      <c r="J4" s="1104"/>
      <c r="K4" s="1104"/>
      <c r="L4" s="1104"/>
      <c r="M4" s="1104"/>
      <c r="N4" s="1104"/>
      <c r="O4" s="1104"/>
      <c r="P4" s="1104"/>
      <c r="Q4" s="1104"/>
      <c r="R4" s="1104"/>
      <c r="S4" s="1104"/>
    </row>
    <row r="5" spans="2:19">
      <c r="B5" s="1227" t="s">
        <v>160</v>
      </c>
      <c r="C5" s="1227" t="s">
        <v>96</v>
      </c>
      <c r="D5" s="1228" t="s">
        <v>494</v>
      </c>
      <c r="E5" s="1229"/>
      <c r="F5" s="1229"/>
      <c r="G5" s="1229"/>
      <c r="H5" s="1229"/>
      <c r="I5" s="1229"/>
      <c r="J5" s="1229"/>
      <c r="K5" s="1229"/>
      <c r="L5" s="1229"/>
      <c r="M5" s="1229"/>
      <c r="N5" s="1229"/>
      <c r="O5" s="1229"/>
      <c r="P5" s="1229"/>
      <c r="Q5" s="1229"/>
      <c r="R5" s="1229"/>
      <c r="S5" s="1229"/>
    </row>
    <row r="6" spans="2:19" ht="63" customHeight="1">
      <c r="B6" s="1227"/>
      <c r="C6" s="1227"/>
      <c r="D6" s="1230" t="s">
        <v>516</v>
      </c>
      <c r="E6" s="1231"/>
      <c r="F6" s="1228" t="s">
        <v>172</v>
      </c>
      <c r="G6" s="1232"/>
      <c r="H6" s="1228" t="s">
        <v>205</v>
      </c>
      <c r="I6" s="1232"/>
      <c r="J6" s="1228" t="s">
        <v>515</v>
      </c>
      <c r="K6" s="1232"/>
      <c r="L6" s="1228" t="s">
        <v>461</v>
      </c>
      <c r="M6" s="1232"/>
      <c r="N6" s="1228" t="s">
        <v>502</v>
      </c>
      <c r="O6" s="1232"/>
      <c r="P6" s="1230" t="s">
        <v>503</v>
      </c>
      <c r="Q6" s="1231"/>
      <c r="R6" s="1228" t="s">
        <v>204</v>
      </c>
      <c r="S6" s="1232"/>
    </row>
    <row r="7" spans="2:19">
      <c r="B7" s="1227"/>
      <c r="C7" s="1227"/>
      <c r="D7" s="686" t="s">
        <v>495</v>
      </c>
      <c r="E7" s="686" t="s">
        <v>496</v>
      </c>
      <c r="F7" s="686" t="s">
        <v>495</v>
      </c>
      <c r="G7" s="686" t="s">
        <v>496</v>
      </c>
      <c r="H7" s="686" t="s">
        <v>495</v>
      </c>
      <c r="I7" s="686" t="s">
        <v>496</v>
      </c>
      <c r="J7" s="686" t="s">
        <v>495</v>
      </c>
      <c r="K7" s="686" t="s">
        <v>496</v>
      </c>
      <c r="L7" s="686" t="s">
        <v>495</v>
      </c>
      <c r="M7" s="686" t="s">
        <v>496</v>
      </c>
      <c r="N7" s="686" t="s">
        <v>495</v>
      </c>
      <c r="O7" s="686" t="s">
        <v>496</v>
      </c>
      <c r="P7" s="686" t="s">
        <v>495</v>
      </c>
      <c r="Q7" s="686" t="s">
        <v>496</v>
      </c>
      <c r="R7" s="686" t="s">
        <v>495</v>
      </c>
      <c r="S7" s="849" t="s">
        <v>496</v>
      </c>
    </row>
    <row r="8" spans="2:19">
      <c r="B8" s="1224">
        <v>2020</v>
      </c>
      <c r="C8" s="687" t="s">
        <v>47</v>
      </c>
      <c r="D8" s="692">
        <v>5969</v>
      </c>
      <c r="E8" s="1036">
        <v>5389</v>
      </c>
      <c r="F8" s="1036">
        <v>3537</v>
      </c>
      <c r="G8" s="1036">
        <v>3330</v>
      </c>
      <c r="H8" s="1036">
        <v>8614</v>
      </c>
      <c r="I8" s="1036">
        <v>8389</v>
      </c>
      <c r="J8" s="1036">
        <v>6168</v>
      </c>
      <c r="K8" s="1036">
        <v>4112</v>
      </c>
      <c r="L8" s="1036">
        <v>3890</v>
      </c>
      <c r="M8" s="1036">
        <v>4287</v>
      </c>
      <c r="N8" s="1036">
        <v>2366</v>
      </c>
      <c r="O8" s="1036">
        <v>1830</v>
      </c>
      <c r="P8" s="1036">
        <v>4006</v>
      </c>
      <c r="Q8" s="1036">
        <v>5551</v>
      </c>
      <c r="R8" s="1036">
        <v>58183</v>
      </c>
      <c r="S8" s="1037">
        <v>61905</v>
      </c>
    </row>
    <row r="9" spans="2:19">
      <c r="B9" s="1225"/>
      <c r="C9" s="689" t="s">
        <v>48</v>
      </c>
      <c r="D9" s="693">
        <v>6681</v>
      </c>
      <c r="E9" s="1038">
        <v>4976</v>
      </c>
      <c r="F9" s="1038">
        <v>3330</v>
      </c>
      <c r="G9" s="1038">
        <v>3350</v>
      </c>
      <c r="H9" s="1038">
        <v>8389</v>
      </c>
      <c r="I9" s="1038">
        <v>8326</v>
      </c>
      <c r="J9" s="1038">
        <v>4112</v>
      </c>
      <c r="K9" s="1038">
        <v>3803</v>
      </c>
      <c r="L9" s="1038">
        <v>4287</v>
      </c>
      <c r="M9" s="1038">
        <v>3684</v>
      </c>
      <c r="N9" s="1038">
        <v>1830</v>
      </c>
      <c r="O9" s="1038">
        <v>1797</v>
      </c>
      <c r="P9" s="1038">
        <v>5551</v>
      </c>
      <c r="Q9" s="1038">
        <v>6865</v>
      </c>
      <c r="R9" s="1038">
        <v>61905</v>
      </c>
      <c r="S9" s="1039">
        <v>64772</v>
      </c>
    </row>
    <row r="10" spans="2:19">
      <c r="B10" s="1225"/>
      <c r="C10" s="689" t="s">
        <v>49</v>
      </c>
      <c r="D10" s="693">
        <v>6680</v>
      </c>
      <c r="E10" s="1038">
        <v>3608</v>
      </c>
      <c r="F10" s="1038">
        <v>3350</v>
      </c>
      <c r="G10" s="1038">
        <v>1317</v>
      </c>
      <c r="H10" s="1038">
        <v>8326</v>
      </c>
      <c r="I10" s="1038">
        <v>2013</v>
      </c>
      <c r="J10" s="1038">
        <v>3803</v>
      </c>
      <c r="K10" s="1038">
        <v>3293</v>
      </c>
      <c r="L10" s="1038">
        <v>3684</v>
      </c>
      <c r="M10" s="1038">
        <v>2024</v>
      </c>
      <c r="N10" s="1038">
        <v>1797</v>
      </c>
      <c r="O10" s="1038">
        <v>1325</v>
      </c>
      <c r="P10" s="1038">
        <v>6865</v>
      </c>
      <c r="Q10" s="1038">
        <v>6512</v>
      </c>
      <c r="R10" s="1038">
        <v>64772</v>
      </c>
      <c r="S10" s="1039">
        <v>62744</v>
      </c>
    </row>
    <row r="11" spans="2:19">
      <c r="B11" s="1225"/>
      <c r="C11" s="689" t="s">
        <v>57</v>
      </c>
      <c r="D11" s="693">
        <v>6695</v>
      </c>
      <c r="E11" s="1038">
        <v>3799</v>
      </c>
      <c r="F11" s="1038">
        <v>1317</v>
      </c>
      <c r="G11" s="1038">
        <v>1145</v>
      </c>
      <c r="H11" s="1038">
        <v>2013</v>
      </c>
      <c r="I11" s="1038">
        <v>2786</v>
      </c>
      <c r="J11" s="1038">
        <v>3293</v>
      </c>
      <c r="K11" s="1038">
        <v>3877</v>
      </c>
      <c r="L11" s="1038">
        <v>2024</v>
      </c>
      <c r="M11" s="1038">
        <v>2839</v>
      </c>
      <c r="N11" s="1038">
        <v>1325</v>
      </c>
      <c r="O11" s="1038">
        <v>1712</v>
      </c>
      <c r="P11" s="1038">
        <v>6512</v>
      </c>
      <c r="Q11" s="1038">
        <v>6507</v>
      </c>
      <c r="R11" s="1038">
        <v>62744</v>
      </c>
      <c r="S11" s="1039">
        <v>63507</v>
      </c>
    </row>
    <row r="12" spans="2:19">
      <c r="B12" s="1225"/>
      <c r="C12" s="689" t="s">
        <v>58</v>
      </c>
      <c r="D12" s="693">
        <v>6428</v>
      </c>
      <c r="E12" s="1038">
        <v>4834</v>
      </c>
      <c r="F12" s="1038">
        <v>1145</v>
      </c>
      <c r="G12" s="1038">
        <v>1049</v>
      </c>
      <c r="H12" s="1038">
        <v>2786</v>
      </c>
      <c r="I12" s="1038">
        <v>3529</v>
      </c>
      <c r="J12" s="1038">
        <v>3877</v>
      </c>
      <c r="K12" s="1038">
        <v>4344</v>
      </c>
      <c r="L12" s="1038">
        <v>2839</v>
      </c>
      <c r="M12" s="1038">
        <v>4846</v>
      </c>
      <c r="N12" s="1038">
        <v>1712</v>
      </c>
      <c r="O12" s="1038">
        <v>1796</v>
      </c>
      <c r="P12" s="1038">
        <v>6507</v>
      </c>
      <c r="Q12" s="1038">
        <v>7887</v>
      </c>
      <c r="R12" s="1038">
        <v>63507</v>
      </c>
      <c r="S12" s="1039">
        <v>64654</v>
      </c>
    </row>
    <row r="13" spans="2:19">
      <c r="B13" s="1225"/>
      <c r="C13" s="689" t="s">
        <v>50</v>
      </c>
      <c r="D13" s="693">
        <v>7082</v>
      </c>
      <c r="E13" s="1038">
        <v>4210</v>
      </c>
      <c r="F13" s="1038">
        <v>1049</v>
      </c>
      <c r="G13" s="1038">
        <v>1426</v>
      </c>
      <c r="H13" s="1038">
        <v>3529</v>
      </c>
      <c r="I13" s="1038">
        <v>3493</v>
      </c>
      <c r="J13" s="1038">
        <v>4344</v>
      </c>
      <c r="K13" s="1038">
        <v>3502</v>
      </c>
      <c r="L13" s="1038">
        <v>4846</v>
      </c>
      <c r="M13" s="1038">
        <v>4887</v>
      </c>
      <c r="N13" s="1038">
        <v>1796</v>
      </c>
      <c r="O13" s="1038">
        <v>1760</v>
      </c>
      <c r="P13" s="1038">
        <v>7887</v>
      </c>
      <c r="Q13" s="1038">
        <v>7816</v>
      </c>
      <c r="R13" s="1038">
        <v>64654</v>
      </c>
      <c r="S13" s="1039">
        <v>60032</v>
      </c>
    </row>
    <row r="14" spans="2:19">
      <c r="B14" s="1225"/>
      <c r="C14" s="689" t="s">
        <v>51</v>
      </c>
      <c r="D14" s="693">
        <v>7349</v>
      </c>
      <c r="E14" s="1038">
        <v>4920</v>
      </c>
      <c r="F14" s="1038">
        <v>1426</v>
      </c>
      <c r="G14" s="1038">
        <v>1809</v>
      </c>
      <c r="H14" s="1038">
        <v>3493</v>
      </c>
      <c r="I14" s="1038">
        <v>3021</v>
      </c>
      <c r="J14" s="1038">
        <v>3502</v>
      </c>
      <c r="K14" s="1038">
        <v>3666</v>
      </c>
      <c r="L14" s="1038">
        <v>4887</v>
      </c>
      <c r="M14" s="1038">
        <v>5169</v>
      </c>
      <c r="N14" s="1038">
        <v>1760</v>
      </c>
      <c r="O14" s="1038">
        <v>2185</v>
      </c>
      <c r="P14" s="1038">
        <v>7816</v>
      </c>
      <c r="Q14" s="1038">
        <v>8379</v>
      </c>
      <c r="R14" s="1038">
        <v>60032</v>
      </c>
      <c r="S14" s="1039">
        <v>62319</v>
      </c>
    </row>
    <row r="15" spans="2:19">
      <c r="B15" s="1225"/>
      <c r="C15" s="689" t="s">
        <v>52</v>
      </c>
      <c r="D15" s="693">
        <v>6661</v>
      </c>
      <c r="E15" s="1038">
        <v>4575</v>
      </c>
      <c r="F15" s="1038">
        <v>1809</v>
      </c>
      <c r="G15" s="1038">
        <v>1614</v>
      </c>
      <c r="H15" s="1038">
        <v>3021</v>
      </c>
      <c r="I15" s="1038">
        <v>2947</v>
      </c>
      <c r="J15" s="1038">
        <v>3666</v>
      </c>
      <c r="K15" s="1038">
        <v>3559</v>
      </c>
      <c r="L15" s="1038">
        <v>5169</v>
      </c>
      <c r="M15" s="1038">
        <v>4674</v>
      </c>
      <c r="N15" s="1038">
        <v>2185</v>
      </c>
      <c r="O15" s="1038">
        <v>2285</v>
      </c>
      <c r="P15" s="1038">
        <v>8379</v>
      </c>
      <c r="Q15" s="1038">
        <v>8281</v>
      </c>
      <c r="R15" s="1038">
        <v>62319</v>
      </c>
      <c r="S15" s="1039">
        <v>18315</v>
      </c>
    </row>
    <row r="16" spans="2:19">
      <c r="B16" s="1225"/>
      <c r="C16" s="689" t="s">
        <v>53</v>
      </c>
      <c r="D16" s="693">
        <v>6591</v>
      </c>
      <c r="E16" s="1038">
        <v>4949</v>
      </c>
      <c r="F16" s="1038">
        <v>1614</v>
      </c>
      <c r="G16" s="1038">
        <v>2190</v>
      </c>
      <c r="H16" s="1038">
        <v>2947</v>
      </c>
      <c r="I16" s="1038">
        <v>3884</v>
      </c>
      <c r="J16" s="1038">
        <v>3559</v>
      </c>
      <c r="K16" s="1038">
        <v>3736</v>
      </c>
      <c r="L16" s="1038">
        <v>4674</v>
      </c>
      <c r="M16" s="1038">
        <v>5872</v>
      </c>
      <c r="N16" s="1038">
        <v>2285</v>
      </c>
      <c r="O16" s="1038">
        <v>2338</v>
      </c>
      <c r="P16" s="1038">
        <v>8281</v>
      </c>
      <c r="Q16" s="1038">
        <v>8411</v>
      </c>
      <c r="R16" s="1038">
        <v>18315</v>
      </c>
      <c r="S16" s="1039">
        <v>21424</v>
      </c>
    </row>
    <row r="17" spans="2:19">
      <c r="B17" s="1225"/>
      <c r="C17" s="689" t="s">
        <v>54</v>
      </c>
      <c r="D17" s="693">
        <v>5786</v>
      </c>
      <c r="E17" s="1038">
        <v>5392</v>
      </c>
      <c r="F17" s="1038">
        <v>2190</v>
      </c>
      <c r="G17" s="1038">
        <v>2892</v>
      </c>
      <c r="H17" s="1038">
        <v>3884</v>
      </c>
      <c r="I17" s="1038">
        <v>3278</v>
      </c>
      <c r="J17" s="1038">
        <v>3736</v>
      </c>
      <c r="K17" s="1038">
        <v>3476</v>
      </c>
      <c r="L17" s="1038">
        <v>5872</v>
      </c>
      <c r="M17" s="1038">
        <v>6011</v>
      </c>
      <c r="N17" s="1038">
        <v>2338</v>
      </c>
      <c r="O17" s="1038">
        <v>2548</v>
      </c>
      <c r="P17" s="1038">
        <v>8411</v>
      </c>
      <c r="Q17" s="1038">
        <v>8267</v>
      </c>
      <c r="R17" s="1038">
        <v>21424</v>
      </c>
      <c r="S17" s="1039">
        <v>22481</v>
      </c>
    </row>
    <row r="18" spans="2:19">
      <c r="B18" s="1225"/>
      <c r="C18" s="689" t="s">
        <v>55</v>
      </c>
      <c r="D18" s="693">
        <v>4462</v>
      </c>
      <c r="E18" s="1038">
        <v>5696</v>
      </c>
      <c r="F18" s="1038">
        <v>2892</v>
      </c>
      <c r="G18" s="1038">
        <v>2894</v>
      </c>
      <c r="H18" s="1038">
        <v>3278</v>
      </c>
      <c r="I18" s="1038">
        <v>5093</v>
      </c>
      <c r="J18" s="1038">
        <v>3476</v>
      </c>
      <c r="K18" s="1038">
        <v>3298</v>
      </c>
      <c r="L18" s="1038">
        <v>6011</v>
      </c>
      <c r="M18" s="1038">
        <v>5960</v>
      </c>
      <c r="N18" s="1038">
        <v>2548</v>
      </c>
      <c r="O18" s="1038">
        <v>3109</v>
      </c>
      <c r="P18" s="1038">
        <v>8267</v>
      </c>
      <c r="Q18" s="1038">
        <v>7844</v>
      </c>
      <c r="R18" s="1038">
        <v>22481</v>
      </c>
      <c r="S18" s="1039">
        <v>22227</v>
      </c>
    </row>
    <row r="19" spans="2:19">
      <c r="B19" s="1226"/>
      <c r="C19" s="689" t="s">
        <v>56</v>
      </c>
      <c r="D19" s="693">
        <v>5208</v>
      </c>
      <c r="E19" s="1038">
        <v>4968</v>
      </c>
      <c r="F19" s="1038">
        <v>2894</v>
      </c>
      <c r="G19" s="1038">
        <v>2487</v>
      </c>
      <c r="H19" s="1038">
        <v>5093</v>
      </c>
      <c r="I19" s="1038">
        <v>5730</v>
      </c>
      <c r="J19" s="1038">
        <v>3298</v>
      </c>
      <c r="K19" s="1038">
        <v>3038</v>
      </c>
      <c r="L19" s="1038">
        <v>5960</v>
      </c>
      <c r="M19" s="1038">
        <v>5277</v>
      </c>
      <c r="N19" s="1038">
        <v>3109</v>
      </c>
      <c r="O19" s="1038">
        <v>2436</v>
      </c>
      <c r="P19" s="1038">
        <v>7844</v>
      </c>
      <c r="Q19" s="1038">
        <v>7144</v>
      </c>
      <c r="R19" s="1038">
        <v>22227</v>
      </c>
      <c r="S19" s="1040">
        <v>19954</v>
      </c>
    </row>
    <row r="20" spans="2:19">
      <c r="B20" s="1224">
        <v>2021</v>
      </c>
      <c r="C20" s="764" t="s">
        <v>47</v>
      </c>
      <c r="D20" s="688">
        <v>5653</v>
      </c>
      <c r="E20" s="1037">
        <v>6042</v>
      </c>
      <c r="F20" s="1037">
        <v>2487</v>
      </c>
      <c r="G20" s="1037">
        <v>2749</v>
      </c>
      <c r="H20" s="1037">
        <v>5730</v>
      </c>
      <c r="I20" s="1037">
        <v>6308</v>
      </c>
      <c r="J20" s="1037">
        <v>3038</v>
      </c>
      <c r="K20" s="1037">
        <v>3256</v>
      </c>
      <c r="L20" s="1037">
        <v>5277</v>
      </c>
      <c r="M20" s="1037">
        <v>6033</v>
      </c>
      <c r="N20" s="1037">
        <v>2436</v>
      </c>
      <c r="O20" s="1037">
        <v>2305</v>
      </c>
      <c r="P20" s="1037">
        <v>7144</v>
      </c>
      <c r="Q20" s="1037">
        <v>7702</v>
      </c>
      <c r="R20" s="1037">
        <v>19954</v>
      </c>
      <c r="S20" s="1037">
        <v>22624</v>
      </c>
    </row>
    <row r="21" spans="2:19">
      <c r="B21" s="1225"/>
      <c r="C21" s="765" t="s">
        <v>48</v>
      </c>
      <c r="D21" s="693">
        <v>6089</v>
      </c>
      <c r="E21" s="1038"/>
      <c r="F21" s="1038"/>
      <c r="G21" s="1038"/>
      <c r="H21" s="1038"/>
      <c r="I21" s="1038"/>
      <c r="J21" s="1038"/>
      <c r="K21" s="1038"/>
      <c r="L21" s="1038"/>
      <c r="M21" s="1038"/>
      <c r="N21" s="1038"/>
      <c r="O21" s="1038"/>
      <c r="P21" s="1038"/>
      <c r="Q21" s="1038"/>
      <c r="R21" s="1038"/>
      <c r="S21" s="1039"/>
    </row>
    <row r="22" spans="2:19">
      <c r="B22" s="1225"/>
      <c r="C22" s="765" t="s">
        <v>49</v>
      </c>
      <c r="D22" s="693">
        <v>5659</v>
      </c>
      <c r="E22" s="693"/>
      <c r="F22" s="693"/>
      <c r="G22" s="693"/>
      <c r="H22" s="693"/>
      <c r="I22" s="693"/>
      <c r="J22" s="693"/>
      <c r="K22" s="693"/>
      <c r="L22" s="693"/>
      <c r="M22" s="693"/>
      <c r="N22" s="693"/>
      <c r="O22" s="693"/>
      <c r="P22" s="693"/>
      <c r="Q22" s="693"/>
      <c r="R22" s="693"/>
      <c r="S22" s="690"/>
    </row>
    <row r="23" spans="2:19">
      <c r="B23" s="1225"/>
      <c r="C23" s="765" t="s">
        <v>57</v>
      </c>
      <c r="D23" s="693">
        <v>3608</v>
      </c>
      <c r="E23" s="693"/>
      <c r="F23" s="693"/>
      <c r="G23" s="693"/>
      <c r="H23" s="693"/>
      <c r="I23" s="693"/>
      <c r="J23" s="693"/>
      <c r="K23" s="693"/>
      <c r="L23" s="693"/>
      <c r="M23" s="693"/>
      <c r="N23" s="693"/>
      <c r="O23" s="693"/>
      <c r="P23" s="693"/>
      <c r="Q23" s="693"/>
      <c r="R23" s="693"/>
      <c r="S23" s="690"/>
    </row>
    <row r="24" spans="2:19">
      <c r="B24" s="1225"/>
      <c r="C24" s="765" t="s">
        <v>58</v>
      </c>
      <c r="D24" s="693">
        <v>3799</v>
      </c>
      <c r="E24" s="693"/>
      <c r="F24" s="693"/>
      <c r="G24" s="693"/>
      <c r="H24" s="693"/>
      <c r="I24" s="693"/>
      <c r="J24" s="693"/>
      <c r="K24" s="693"/>
      <c r="L24" s="693"/>
      <c r="M24" s="693"/>
      <c r="N24" s="693"/>
      <c r="O24" s="693"/>
      <c r="P24" s="693"/>
      <c r="Q24" s="693"/>
      <c r="R24" s="693"/>
      <c r="S24" s="690"/>
    </row>
    <row r="25" spans="2:19">
      <c r="B25" s="1225"/>
      <c r="C25" s="765" t="s">
        <v>50</v>
      </c>
      <c r="D25" s="690"/>
      <c r="E25" s="690"/>
      <c r="F25" s="690"/>
      <c r="G25" s="690"/>
      <c r="H25" s="690"/>
      <c r="I25" s="690"/>
      <c r="J25" s="690"/>
      <c r="K25" s="690"/>
      <c r="L25" s="690"/>
      <c r="M25" s="690"/>
      <c r="N25" s="690"/>
      <c r="O25" s="690"/>
      <c r="P25" s="690"/>
      <c r="Q25" s="690"/>
      <c r="R25" s="690"/>
      <c r="S25" s="690"/>
    </row>
    <row r="26" spans="2:19">
      <c r="B26" s="1225"/>
      <c r="C26" s="765" t="s">
        <v>51</v>
      </c>
      <c r="D26" s="690"/>
      <c r="E26" s="690"/>
      <c r="F26" s="690"/>
      <c r="G26" s="690"/>
      <c r="H26" s="690"/>
      <c r="I26" s="690"/>
      <c r="J26" s="690"/>
      <c r="K26" s="690"/>
      <c r="L26" s="690"/>
      <c r="M26" s="690"/>
      <c r="N26" s="690"/>
      <c r="O26" s="690"/>
      <c r="P26" s="690"/>
      <c r="Q26" s="690"/>
      <c r="R26" s="690"/>
      <c r="S26" s="690"/>
    </row>
    <row r="27" spans="2:19">
      <c r="B27" s="1225"/>
      <c r="C27" s="765" t="s">
        <v>52</v>
      </c>
      <c r="D27" s="690"/>
      <c r="E27" s="690"/>
      <c r="F27" s="690"/>
      <c r="G27" s="690"/>
      <c r="H27" s="690"/>
      <c r="I27" s="690"/>
      <c r="J27" s="690"/>
      <c r="K27" s="690"/>
      <c r="L27" s="690"/>
      <c r="M27" s="690"/>
      <c r="N27" s="690"/>
      <c r="O27" s="690"/>
      <c r="P27" s="690"/>
      <c r="Q27" s="690"/>
      <c r="R27" s="690"/>
      <c r="S27" s="690"/>
    </row>
    <row r="28" spans="2:19">
      <c r="B28" s="1225"/>
      <c r="C28" s="765" t="s">
        <v>53</v>
      </c>
      <c r="D28" s="690"/>
      <c r="E28" s="690"/>
      <c r="F28" s="690"/>
      <c r="G28" s="690"/>
      <c r="H28" s="690"/>
      <c r="I28" s="690"/>
      <c r="J28" s="690"/>
      <c r="K28" s="690"/>
      <c r="L28" s="690"/>
      <c r="M28" s="690"/>
      <c r="N28" s="690"/>
      <c r="O28" s="690"/>
      <c r="P28" s="690"/>
      <c r="Q28" s="690"/>
      <c r="R28" s="690"/>
      <c r="S28" s="690"/>
    </row>
    <row r="29" spans="2:19">
      <c r="B29" s="1225"/>
      <c r="C29" s="765" t="s">
        <v>54</v>
      </c>
      <c r="D29" s="690"/>
      <c r="E29" s="690"/>
      <c r="F29" s="690"/>
      <c r="G29" s="690"/>
      <c r="H29" s="690"/>
      <c r="I29" s="690"/>
      <c r="J29" s="690"/>
      <c r="K29" s="690"/>
      <c r="L29" s="690"/>
      <c r="M29" s="690"/>
      <c r="N29" s="690"/>
      <c r="O29" s="690"/>
      <c r="P29" s="690"/>
      <c r="Q29" s="690"/>
      <c r="R29" s="690"/>
      <c r="S29" s="690"/>
    </row>
    <row r="30" spans="2:19">
      <c r="B30" s="1225"/>
      <c r="C30" s="765" t="s">
        <v>55</v>
      </c>
      <c r="D30" s="690"/>
      <c r="E30" s="690"/>
      <c r="F30" s="690"/>
      <c r="G30" s="690"/>
      <c r="H30" s="690"/>
      <c r="I30" s="690"/>
      <c r="J30" s="690"/>
      <c r="K30" s="690"/>
      <c r="L30" s="690"/>
      <c r="M30" s="690"/>
      <c r="N30" s="690"/>
      <c r="O30" s="690"/>
      <c r="P30" s="690"/>
      <c r="Q30" s="690"/>
      <c r="R30" s="690"/>
      <c r="S30" s="690"/>
    </row>
    <row r="31" spans="2:19">
      <c r="B31" s="1226"/>
      <c r="C31" s="766" t="s">
        <v>56</v>
      </c>
      <c r="D31" s="691"/>
      <c r="E31" s="691"/>
      <c r="F31" s="691"/>
      <c r="G31" s="691"/>
      <c r="H31" s="691"/>
      <c r="I31" s="691"/>
      <c r="J31" s="691"/>
      <c r="K31" s="691"/>
      <c r="L31" s="691"/>
      <c r="M31" s="691"/>
      <c r="N31" s="691"/>
      <c r="O31" s="691"/>
      <c r="P31" s="691"/>
      <c r="Q31" s="691"/>
      <c r="R31" s="691"/>
      <c r="S31" s="691"/>
    </row>
    <row r="32" spans="2:19">
      <c r="B32" s="685" t="s">
        <v>500</v>
      </c>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U32"/>
  <sheetViews>
    <sheetView zoomScaleNormal="100" workbookViewId="0">
      <selection activeCell="Q22" sqref="Q22"/>
    </sheetView>
  </sheetViews>
  <sheetFormatPr baseColWidth="10" defaultColWidth="10.90625" defaultRowHeight="12.75"/>
  <cols>
    <col min="1" max="1" width="2.453125" style="685" customWidth="1"/>
    <col min="2" max="2" width="6.54296875" style="685" customWidth="1"/>
    <col min="3" max="3" width="8.36328125" style="685" customWidth="1"/>
    <col min="4" max="4" width="8.1796875" style="685" hidden="1" customWidth="1"/>
    <col min="5" max="5" width="8.453125" style="685" customWidth="1"/>
    <col min="6" max="6" width="8.453125" style="685" hidden="1" customWidth="1"/>
    <col min="7" max="7" width="8.453125" style="685" customWidth="1"/>
    <col min="8" max="8" width="8.453125" style="685" hidden="1" customWidth="1"/>
    <col min="9" max="9" width="8.453125" style="685" customWidth="1"/>
    <col min="10" max="10" width="8.453125" style="685" hidden="1" customWidth="1"/>
    <col min="11" max="11" width="8.453125" style="685" customWidth="1"/>
    <col min="12" max="12" width="8.453125" style="685" hidden="1" customWidth="1"/>
    <col min="13" max="13" width="8.453125" style="685" customWidth="1"/>
    <col min="14" max="14" width="8.453125" style="685" hidden="1" customWidth="1"/>
    <col min="15" max="15" width="8.453125" style="685" customWidth="1"/>
    <col min="16" max="16" width="8.453125" style="685" hidden="1" customWidth="1"/>
    <col min="17" max="17" width="8.453125" style="685" customWidth="1"/>
    <col min="18" max="18" width="8.453125" style="685" hidden="1" customWidth="1"/>
    <col min="19" max="19" width="9.36328125" style="685" customWidth="1"/>
    <col min="20" max="20" width="2.453125" style="685" customWidth="1"/>
    <col min="21" max="16384" width="10.90625" style="685"/>
  </cols>
  <sheetData>
    <row r="1" spans="2:20" s="684" customFormat="1" ht="12.75" customHeight="1">
      <c r="B1" s="1104" t="s">
        <v>504</v>
      </c>
      <c r="C1" s="1104"/>
      <c r="D1" s="1104"/>
      <c r="E1" s="1104"/>
      <c r="F1" s="1104"/>
      <c r="G1" s="1104"/>
      <c r="H1" s="1104"/>
      <c r="I1" s="1104"/>
      <c r="J1" s="1104"/>
      <c r="K1" s="1104"/>
      <c r="L1" s="1104"/>
      <c r="M1" s="1104"/>
      <c r="N1" s="1104"/>
      <c r="O1" s="1104"/>
      <c r="P1" s="1104"/>
      <c r="Q1" s="1104"/>
      <c r="R1" s="1104"/>
      <c r="S1" s="1104"/>
      <c r="T1" s="32"/>
    </row>
    <row r="2" spans="2:20" s="684" customFormat="1" ht="12.75" customHeight="1">
      <c r="B2" s="923"/>
      <c r="C2" s="923"/>
      <c r="D2" s="923"/>
      <c r="E2" s="923"/>
      <c r="F2" s="923"/>
      <c r="G2" s="923"/>
      <c r="H2" s="923"/>
      <c r="I2" s="923"/>
      <c r="J2" s="923"/>
      <c r="K2" s="923"/>
      <c r="L2" s="923"/>
      <c r="M2" s="923"/>
      <c r="N2" s="923"/>
      <c r="O2" s="923"/>
      <c r="P2" s="923"/>
      <c r="Q2" s="923"/>
      <c r="R2" s="923"/>
      <c r="S2" s="923"/>
      <c r="T2" s="32"/>
    </row>
    <row r="3" spans="2:20" s="684" customFormat="1" ht="12.75" customHeight="1">
      <c r="B3" s="1104" t="s">
        <v>501</v>
      </c>
      <c r="C3" s="1104"/>
      <c r="D3" s="1104"/>
      <c r="E3" s="1104"/>
      <c r="F3" s="1104"/>
      <c r="G3" s="1104"/>
      <c r="H3" s="1104"/>
      <c r="I3" s="1104"/>
      <c r="J3" s="1104"/>
      <c r="K3" s="1104"/>
      <c r="L3" s="1104"/>
      <c r="M3" s="1104"/>
      <c r="N3" s="1104"/>
      <c r="O3" s="1104"/>
      <c r="P3" s="1104"/>
      <c r="Q3" s="1104"/>
      <c r="R3" s="1104"/>
      <c r="S3" s="1104"/>
      <c r="T3" s="32"/>
    </row>
    <row r="4" spans="2:20" s="684" customFormat="1" ht="12.75" customHeight="1">
      <c r="B4" s="1104" t="s">
        <v>166</v>
      </c>
      <c r="C4" s="1104"/>
      <c r="D4" s="1104"/>
      <c r="E4" s="1104"/>
      <c r="F4" s="1104"/>
      <c r="G4" s="1104"/>
      <c r="H4" s="1104"/>
      <c r="I4" s="1104"/>
      <c r="J4" s="1104"/>
      <c r="K4" s="1104"/>
      <c r="L4" s="1104"/>
      <c r="M4" s="1104"/>
      <c r="N4" s="1104"/>
      <c r="O4" s="1104"/>
      <c r="P4" s="1104"/>
      <c r="Q4" s="1104"/>
      <c r="R4" s="1104"/>
      <c r="S4" s="1104"/>
      <c r="T4" s="701"/>
    </row>
    <row r="5" spans="2:20">
      <c r="B5" s="1233" t="s">
        <v>160</v>
      </c>
      <c r="C5" s="1233" t="s">
        <v>96</v>
      </c>
      <c r="D5" s="1228" t="s">
        <v>494</v>
      </c>
      <c r="E5" s="1229"/>
      <c r="F5" s="1229"/>
      <c r="G5" s="1229"/>
      <c r="H5" s="1229"/>
      <c r="I5" s="1229"/>
      <c r="J5" s="1229"/>
      <c r="K5" s="1229"/>
      <c r="L5" s="1229"/>
      <c r="M5" s="1229"/>
      <c r="N5" s="1229"/>
      <c r="O5" s="1229"/>
      <c r="P5" s="1229"/>
      <c r="Q5" s="1229"/>
      <c r="R5" s="1229"/>
      <c r="S5" s="1229"/>
    </row>
    <row r="6" spans="2:20" ht="66.75" customHeight="1">
      <c r="B6" s="1234"/>
      <c r="C6" s="1234"/>
      <c r="D6" s="1230" t="s">
        <v>516</v>
      </c>
      <c r="E6" s="1231"/>
      <c r="F6" s="1228" t="s">
        <v>172</v>
      </c>
      <c r="G6" s="1232"/>
      <c r="H6" s="1228" t="s">
        <v>205</v>
      </c>
      <c r="I6" s="1232"/>
      <c r="J6" s="1228" t="s">
        <v>515</v>
      </c>
      <c r="K6" s="1232"/>
      <c r="L6" s="1228" t="s">
        <v>461</v>
      </c>
      <c r="M6" s="1232"/>
      <c r="N6" s="1228" t="s">
        <v>502</v>
      </c>
      <c r="O6" s="1232"/>
      <c r="P6" s="1230" t="s">
        <v>503</v>
      </c>
      <c r="Q6" s="1231"/>
      <c r="R6" s="1236" t="s">
        <v>204</v>
      </c>
      <c r="S6" s="1236"/>
    </row>
    <row r="7" spans="2:20">
      <c r="B7" s="1235"/>
      <c r="C7" s="1235"/>
      <c r="D7" s="694" t="s">
        <v>495</v>
      </c>
      <c r="E7" s="694" t="s">
        <v>496</v>
      </c>
      <c r="F7" s="694" t="s">
        <v>495</v>
      </c>
      <c r="G7" s="694" t="s">
        <v>496</v>
      </c>
      <c r="H7" s="694" t="s">
        <v>495</v>
      </c>
      <c r="I7" s="694" t="s">
        <v>496</v>
      </c>
      <c r="J7" s="694" t="s">
        <v>495</v>
      </c>
      <c r="K7" s="694" t="s">
        <v>496</v>
      </c>
      <c r="L7" s="694" t="s">
        <v>495</v>
      </c>
      <c r="M7" s="694" t="s">
        <v>496</v>
      </c>
      <c r="N7" s="694" t="s">
        <v>495</v>
      </c>
      <c r="O7" s="694" t="s">
        <v>496</v>
      </c>
      <c r="P7" s="694" t="s">
        <v>495</v>
      </c>
      <c r="Q7" s="694" t="s">
        <v>496</v>
      </c>
      <c r="R7" s="1026" t="s">
        <v>495</v>
      </c>
      <c r="S7" s="1026" t="s">
        <v>496</v>
      </c>
    </row>
    <row r="8" spans="2:20">
      <c r="B8" s="1224">
        <v>2020</v>
      </c>
      <c r="C8" s="695" t="s">
        <v>47</v>
      </c>
      <c r="D8" s="690">
        <v>38305</v>
      </c>
      <c r="E8" s="1033">
        <v>72812</v>
      </c>
      <c r="F8" s="1033">
        <v>20035</v>
      </c>
      <c r="G8" s="1033">
        <v>31050</v>
      </c>
      <c r="H8" s="1033">
        <v>25472</v>
      </c>
      <c r="I8" s="1033">
        <v>29294</v>
      </c>
      <c r="J8" s="1033">
        <v>37202</v>
      </c>
      <c r="K8" s="1033">
        <v>51979</v>
      </c>
      <c r="L8" s="1033">
        <v>7083</v>
      </c>
      <c r="M8" s="1033">
        <v>48068</v>
      </c>
      <c r="N8" s="1033">
        <v>114411</v>
      </c>
      <c r="O8" s="1033">
        <v>123182</v>
      </c>
      <c r="P8" s="1033">
        <v>30613</v>
      </c>
      <c r="Q8" s="1033">
        <v>29273</v>
      </c>
      <c r="R8" s="599">
        <v>223104</v>
      </c>
      <c r="S8" s="599">
        <v>330039</v>
      </c>
    </row>
    <row r="9" spans="2:20">
      <c r="B9" s="1225"/>
      <c r="C9" s="696" t="s">
        <v>48</v>
      </c>
      <c r="D9" s="690">
        <v>63043</v>
      </c>
      <c r="E9" s="1033">
        <v>64643</v>
      </c>
      <c r="F9" s="1033">
        <v>31050</v>
      </c>
      <c r="G9" s="1033">
        <v>34734</v>
      </c>
      <c r="H9" s="1033">
        <v>29294</v>
      </c>
      <c r="I9" s="1033">
        <v>25839</v>
      </c>
      <c r="J9" s="1033">
        <v>51979</v>
      </c>
      <c r="K9" s="1033">
        <v>49854</v>
      </c>
      <c r="L9" s="1033">
        <v>48068</v>
      </c>
      <c r="M9" s="1033">
        <v>51232</v>
      </c>
      <c r="N9" s="1033">
        <v>123182</v>
      </c>
      <c r="O9" s="1033">
        <v>151398</v>
      </c>
      <c r="P9" s="1033">
        <v>29273</v>
      </c>
      <c r="Q9" s="1033">
        <v>63402</v>
      </c>
      <c r="R9" s="1033">
        <v>330039</v>
      </c>
      <c r="S9" s="1033">
        <v>324844</v>
      </c>
    </row>
    <row r="10" spans="2:20">
      <c r="B10" s="1225"/>
      <c r="C10" s="696" t="s">
        <v>49</v>
      </c>
      <c r="D10" s="690">
        <v>69207</v>
      </c>
      <c r="E10" s="1033">
        <v>51286</v>
      </c>
      <c r="F10" s="1033">
        <v>34734</v>
      </c>
      <c r="G10" s="1033">
        <v>37212</v>
      </c>
      <c r="H10" s="1033">
        <v>25839</v>
      </c>
      <c r="I10" s="1033">
        <v>24911</v>
      </c>
      <c r="J10" s="1033">
        <v>49854</v>
      </c>
      <c r="K10" s="1033">
        <v>44928</v>
      </c>
      <c r="L10" s="1033">
        <v>51232</v>
      </c>
      <c r="M10" s="1033">
        <v>44104</v>
      </c>
      <c r="N10" s="1033">
        <v>151398</v>
      </c>
      <c r="O10" s="1033">
        <v>155758</v>
      </c>
      <c r="P10" s="1033">
        <v>63402</v>
      </c>
      <c r="Q10" s="1033">
        <v>90604</v>
      </c>
      <c r="R10" s="1033">
        <v>324844</v>
      </c>
      <c r="S10" s="1033">
        <v>306179</v>
      </c>
    </row>
    <row r="11" spans="2:20">
      <c r="B11" s="1225"/>
      <c r="C11" s="696" t="s">
        <v>57</v>
      </c>
      <c r="D11" s="690">
        <v>61024</v>
      </c>
      <c r="E11" s="1033">
        <v>39897</v>
      </c>
      <c r="F11" s="1033">
        <v>37212</v>
      </c>
      <c r="G11" s="1033">
        <v>35237</v>
      </c>
      <c r="H11" s="1033">
        <v>24911</v>
      </c>
      <c r="I11" s="1033">
        <v>26474</v>
      </c>
      <c r="J11" s="1033">
        <v>44928</v>
      </c>
      <c r="K11" s="1033">
        <v>42908</v>
      </c>
      <c r="L11" s="1033">
        <v>44104</v>
      </c>
      <c r="M11" s="1033">
        <v>36745</v>
      </c>
      <c r="N11" s="1033">
        <v>155758</v>
      </c>
      <c r="O11" s="1033">
        <v>150467</v>
      </c>
      <c r="P11" s="1033">
        <v>90604</v>
      </c>
      <c r="Q11" s="1033">
        <v>106575</v>
      </c>
      <c r="R11" s="1033">
        <v>306179</v>
      </c>
      <c r="S11" s="1033">
        <v>315900</v>
      </c>
    </row>
    <row r="12" spans="2:20">
      <c r="B12" s="1225"/>
      <c r="C12" s="696" t="s">
        <v>58</v>
      </c>
      <c r="D12" s="690">
        <v>51521</v>
      </c>
      <c r="E12" s="1033">
        <v>47632</v>
      </c>
      <c r="F12" s="1033">
        <v>35237</v>
      </c>
      <c r="G12" s="1033">
        <v>28118</v>
      </c>
      <c r="H12" s="1033">
        <v>26474</v>
      </c>
      <c r="I12" s="1033">
        <v>17152</v>
      </c>
      <c r="J12" s="1033">
        <v>42908</v>
      </c>
      <c r="K12" s="1033">
        <v>37877</v>
      </c>
      <c r="L12" s="1033">
        <v>36745</v>
      </c>
      <c r="M12" s="1033">
        <v>33296</v>
      </c>
      <c r="N12" s="1033">
        <v>150434</v>
      </c>
      <c r="O12" s="1033">
        <v>149779</v>
      </c>
      <c r="P12" s="1033">
        <v>106575</v>
      </c>
      <c r="Q12" s="1033">
        <v>101497</v>
      </c>
      <c r="R12" s="1033">
        <v>315900</v>
      </c>
      <c r="S12" s="1033">
        <v>299115</v>
      </c>
    </row>
    <row r="13" spans="2:20">
      <c r="B13" s="1225"/>
      <c r="C13" s="696" t="s">
        <v>50</v>
      </c>
      <c r="D13" s="690">
        <v>52914</v>
      </c>
      <c r="E13" s="1033">
        <v>51857</v>
      </c>
      <c r="F13" s="1033">
        <v>28118</v>
      </c>
      <c r="G13" s="1033">
        <v>25090</v>
      </c>
      <c r="H13" s="1033">
        <v>17152</v>
      </c>
      <c r="I13" s="1033">
        <v>13887</v>
      </c>
      <c r="J13" s="1033">
        <v>37877</v>
      </c>
      <c r="K13" s="1033">
        <v>35226</v>
      </c>
      <c r="L13" s="1033">
        <v>33296</v>
      </c>
      <c r="M13" s="1033">
        <v>30780</v>
      </c>
      <c r="N13" s="1033">
        <v>149779</v>
      </c>
      <c r="O13" s="1033">
        <v>144934</v>
      </c>
      <c r="P13" s="1033">
        <v>101497</v>
      </c>
      <c r="Q13" s="1033">
        <v>92434</v>
      </c>
      <c r="R13" s="1033">
        <v>299115</v>
      </c>
      <c r="S13" s="1033">
        <v>259517</v>
      </c>
    </row>
    <row r="14" spans="2:20">
      <c r="B14" s="1225"/>
      <c r="C14" s="696" t="s">
        <v>51</v>
      </c>
      <c r="D14" s="690">
        <v>51398</v>
      </c>
      <c r="E14" s="1033">
        <v>44355</v>
      </c>
      <c r="F14" s="1033">
        <v>25090</v>
      </c>
      <c r="G14" s="1033">
        <v>31233</v>
      </c>
      <c r="H14" s="1033">
        <v>13887</v>
      </c>
      <c r="I14" s="1033">
        <v>23556</v>
      </c>
      <c r="J14" s="1033">
        <v>35226</v>
      </c>
      <c r="K14" s="1033">
        <v>30460</v>
      </c>
      <c r="L14" s="1033">
        <v>30780</v>
      </c>
      <c r="M14" s="1033">
        <v>27402</v>
      </c>
      <c r="N14" s="1033">
        <v>144934</v>
      </c>
      <c r="O14" s="1033">
        <v>139874</v>
      </c>
      <c r="P14" s="1033">
        <v>92434</v>
      </c>
      <c r="Q14" s="1033">
        <v>87018</v>
      </c>
      <c r="R14" s="1033">
        <v>259517</v>
      </c>
      <c r="S14" s="1033">
        <v>251560</v>
      </c>
    </row>
    <row r="15" spans="2:20">
      <c r="B15" s="1225"/>
      <c r="C15" s="696" t="s">
        <v>52</v>
      </c>
      <c r="D15" s="690">
        <v>40756</v>
      </c>
      <c r="E15" s="1033">
        <v>51798</v>
      </c>
      <c r="F15" s="1033">
        <v>31233</v>
      </c>
      <c r="G15" s="1033">
        <v>29640</v>
      </c>
      <c r="H15" s="1033">
        <v>23556</v>
      </c>
      <c r="I15" s="1033">
        <v>24938</v>
      </c>
      <c r="J15" s="1033">
        <v>30460</v>
      </c>
      <c r="K15" s="1033">
        <v>24029</v>
      </c>
      <c r="L15" s="1033">
        <v>27402</v>
      </c>
      <c r="M15" s="1033">
        <v>23338</v>
      </c>
      <c r="N15" s="1033">
        <v>139874</v>
      </c>
      <c r="O15" s="1033">
        <v>138572</v>
      </c>
      <c r="P15" s="1033">
        <v>87018</v>
      </c>
      <c r="Q15" s="1033">
        <v>76577</v>
      </c>
      <c r="R15" s="1033">
        <v>251560</v>
      </c>
      <c r="S15" s="1033">
        <v>252308</v>
      </c>
    </row>
    <row r="16" spans="2:20">
      <c r="B16" s="1225"/>
      <c r="C16" s="696" t="s">
        <v>53</v>
      </c>
      <c r="D16" s="690">
        <v>29789</v>
      </c>
      <c r="E16" s="1033">
        <v>43507</v>
      </c>
      <c r="F16" s="1033">
        <v>29640</v>
      </c>
      <c r="G16" s="1033">
        <v>32453</v>
      </c>
      <c r="H16" s="1033">
        <v>24938</v>
      </c>
      <c r="I16" s="1033">
        <v>28829</v>
      </c>
      <c r="J16" s="1033">
        <v>24029</v>
      </c>
      <c r="K16" s="1033">
        <v>25174</v>
      </c>
      <c r="L16" s="1033">
        <v>23338</v>
      </c>
      <c r="M16" s="1033">
        <v>17839</v>
      </c>
      <c r="N16" s="1033">
        <v>138572</v>
      </c>
      <c r="O16" s="1033">
        <v>134359</v>
      </c>
      <c r="P16" s="1033">
        <v>76577</v>
      </c>
      <c r="Q16" s="1033">
        <v>75769</v>
      </c>
      <c r="R16" s="1033">
        <v>252308</v>
      </c>
      <c r="S16" s="1033">
        <v>246908</v>
      </c>
    </row>
    <row r="17" spans="2:21">
      <c r="B17" s="1225"/>
      <c r="C17" s="696" t="s">
        <v>54</v>
      </c>
      <c r="D17" s="690">
        <v>32479</v>
      </c>
      <c r="E17" s="1033">
        <v>42204</v>
      </c>
      <c r="F17" s="1033">
        <v>32453</v>
      </c>
      <c r="G17" s="1033">
        <v>33301</v>
      </c>
      <c r="H17" s="1033">
        <v>28829</v>
      </c>
      <c r="I17" s="1033">
        <v>31130</v>
      </c>
      <c r="J17" s="1033">
        <v>25174</v>
      </c>
      <c r="K17" s="1033">
        <v>29043</v>
      </c>
      <c r="L17" s="1033">
        <v>17839</v>
      </c>
      <c r="M17" s="1033">
        <v>17438</v>
      </c>
      <c r="N17" s="1033">
        <v>134359</v>
      </c>
      <c r="O17" s="1033">
        <v>132241</v>
      </c>
      <c r="P17" s="1033">
        <v>75769</v>
      </c>
      <c r="Q17" s="1033">
        <v>83142</v>
      </c>
      <c r="R17" s="1033">
        <v>246908</v>
      </c>
      <c r="S17" s="1033">
        <v>263631</v>
      </c>
    </row>
    <row r="18" spans="2:21">
      <c r="B18" s="1225"/>
      <c r="C18" s="696" t="s">
        <v>55</v>
      </c>
      <c r="D18" s="690">
        <v>27891</v>
      </c>
      <c r="E18" s="1033">
        <v>34332</v>
      </c>
      <c r="F18" s="1033">
        <v>33301</v>
      </c>
      <c r="G18" s="1033">
        <v>26715</v>
      </c>
      <c r="H18" s="1033">
        <v>31130</v>
      </c>
      <c r="I18" s="1033">
        <v>21366</v>
      </c>
      <c r="J18" s="1033">
        <v>29043</v>
      </c>
      <c r="K18" s="1033">
        <v>32530</v>
      </c>
      <c r="L18" s="1033">
        <v>17438</v>
      </c>
      <c r="M18" s="1033">
        <v>16335</v>
      </c>
      <c r="N18" s="1033">
        <v>132241</v>
      </c>
      <c r="O18" s="1033">
        <v>124280</v>
      </c>
      <c r="P18" s="1033">
        <v>83142</v>
      </c>
      <c r="Q18" s="1033">
        <v>84665</v>
      </c>
      <c r="R18" s="1033">
        <v>263631</v>
      </c>
      <c r="S18" s="1033">
        <v>241659</v>
      </c>
    </row>
    <row r="19" spans="2:21">
      <c r="B19" s="1226"/>
      <c r="C19" s="697" t="s">
        <v>56</v>
      </c>
      <c r="D19" s="691">
        <v>18264</v>
      </c>
      <c r="E19" s="1034">
        <v>35738</v>
      </c>
      <c r="F19" s="1034">
        <v>26715</v>
      </c>
      <c r="G19" s="1034">
        <v>32167</v>
      </c>
      <c r="H19" s="1034">
        <v>21366</v>
      </c>
      <c r="I19" s="1034">
        <v>41737</v>
      </c>
      <c r="J19" s="1034">
        <v>32530</v>
      </c>
      <c r="K19" s="1034">
        <v>16102</v>
      </c>
      <c r="L19" s="1034">
        <v>16335</v>
      </c>
      <c r="M19" s="1034">
        <v>9802</v>
      </c>
      <c r="N19" s="1034">
        <v>124280</v>
      </c>
      <c r="O19" s="1034">
        <v>119206</v>
      </c>
      <c r="P19" s="1034">
        <v>84665</v>
      </c>
      <c r="Q19" s="1034">
        <v>84160</v>
      </c>
      <c r="R19" s="1034">
        <v>241659</v>
      </c>
      <c r="S19" s="1034">
        <v>272031</v>
      </c>
    </row>
    <row r="20" spans="2:21">
      <c r="B20" s="1224">
        <v>2021</v>
      </c>
      <c r="C20" s="764" t="s">
        <v>47</v>
      </c>
      <c r="D20" s="688">
        <v>40225</v>
      </c>
      <c r="E20" s="1035">
        <v>61100</v>
      </c>
      <c r="F20" s="1035">
        <v>32167</v>
      </c>
      <c r="G20" s="1035">
        <v>40906</v>
      </c>
      <c r="H20" s="1035">
        <v>41737</v>
      </c>
      <c r="I20" s="1035">
        <v>43085</v>
      </c>
      <c r="J20" s="1035">
        <v>16102</v>
      </c>
      <c r="K20" s="1035">
        <v>29929</v>
      </c>
      <c r="L20" s="1035">
        <v>9802</v>
      </c>
      <c r="M20" s="1035">
        <v>42085</v>
      </c>
      <c r="N20" s="1035">
        <v>119206</v>
      </c>
      <c r="O20" s="1035">
        <v>122112</v>
      </c>
      <c r="P20" s="1035">
        <v>84160</v>
      </c>
      <c r="Q20" s="1035">
        <v>77480</v>
      </c>
      <c r="R20" s="1035">
        <v>272031</v>
      </c>
      <c r="S20" s="1035">
        <v>304287</v>
      </c>
    </row>
    <row r="21" spans="2:21">
      <c r="B21" s="1225"/>
      <c r="C21" s="765" t="s">
        <v>48</v>
      </c>
      <c r="D21" s="690">
        <v>72812</v>
      </c>
      <c r="E21" s="1033"/>
      <c r="F21" s="1033"/>
      <c r="G21" s="1033"/>
      <c r="H21" s="1033"/>
      <c r="I21" s="1033"/>
      <c r="J21" s="1033"/>
      <c r="K21" s="1033"/>
      <c r="L21" s="1033"/>
      <c r="M21" s="1033"/>
      <c r="N21" s="1033"/>
      <c r="O21" s="1033"/>
      <c r="P21" s="1033"/>
      <c r="Q21" s="1033"/>
      <c r="R21" s="1033"/>
      <c r="S21" s="1033"/>
    </row>
    <row r="22" spans="2:21">
      <c r="B22" s="1225"/>
      <c r="C22" s="765" t="s">
        <v>49</v>
      </c>
      <c r="D22" s="690">
        <v>64643</v>
      </c>
      <c r="E22" s="690"/>
      <c r="F22" s="690"/>
      <c r="G22" s="690"/>
      <c r="H22" s="690"/>
      <c r="I22" s="690"/>
      <c r="J22" s="690"/>
      <c r="K22" s="690"/>
      <c r="L22" s="690"/>
      <c r="M22" s="690"/>
      <c r="N22" s="690"/>
      <c r="O22" s="690"/>
      <c r="P22" s="690"/>
      <c r="Q22" s="690"/>
      <c r="R22" s="690"/>
      <c r="S22" s="690"/>
    </row>
    <row r="23" spans="2:21">
      <c r="B23" s="1225"/>
      <c r="C23" s="765" t="s">
        <v>57</v>
      </c>
      <c r="D23" s="690">
        <v>51286</v>
      </c>
      <c r="E23" s="690"/>
      <c r="F23" s="690"/>
      <c r="G23" s="690"/>
      <c r="H23" s="690"/>
      <c r="I23" s="690"/>
      <c r="J23" s="690"/>
      <c r="K23" s="690"/>
      <c r="L23" s="690"/>
      <c r="M23" s="690"/>
      <c r="N23" s="690"/>
      <c r="O23" s="690"/>
      <c r="P23" s="690"/>
      <c r="Q23" s="690"/>
      <c r="R23" s="690"/>
      <c r="S23" s="690"/>
    </row>
    <row r="24" spans="2:21">
      <c r="B24" s="1225"/>
      <c r="C24" s="765" t="s">
        <v>58</v>
      </c>
      <c r="D24" s="690">
        <v>39897</v>
      </c>
      <c r="E24" s="690"/>
      <c r="F24" s="690"/>
      <c r="G24" s="690"/>
      <c r="H24" s="690"/>
      <c r="I24" s="690"/>
      <c r="J24" s="690"/>
      <c r="K24" s="690"/>
      <c r="L24" s="690"/>
      <c r="M24" s="690"/>
      <c r="N24" s="690"/>
      <c r="O24" s="690"/>
      <c r="P24" s="690"/>
      <c r="Q24" s="690"/>
      <c r="R24" s="690"/>
      <c r="S24" s="690"/>
    </row>
    <row r="25" spans="2:21">
      <c r="B25" s="1225"/>
      <c r="C25" s="765" t="s">
        <v>50</v>
      </c>
      <c r="D25" s="690"/>
      <c r="E25" s="690"/>
      <c r="F25" s="690"/>
      <c r="G25" s="690"/>
      <c r="H25" s="690"/>
      <c r="I25" s="690"/>
      <c r="J25" s="690"/>
      <c r="K25" s="690"/>
      <c r="L25" s="690"/>
      <c r="M25" s="690"/>
      <c r="N25" s="690"/>
      <c r="O25" s="690"/>
      <c r="P25" s="690"/>
      <c r="Q25" s="690"/>
      <c r="R25" s="690"/>
      <c r="S25" s="690"/>
    </row>
    <row r="26" spans="2:21">
      <c r="B26" s="1225"/>
      <c r="C26" s="765" t="s">
        <v>51</v>
      </c>
      <c r="D26" s="690"/>
      <c r="E26" s="690"/>
      <c r="F26" s="690"/>
      <c r="G26" s="690"/>
      <c r="H26" s="690"/>
      <c r="I26" s="690"/>
      <c r="J26" s="690"/>
      <c r="K26" s="690"/>
      <c r="L26" s="690"/>
      <c r="M26" s="690"/>
      <c r="N26" s="690"/>
      <c r="O26" s="690"/>
      <c r="P26" s="690"/>
      <c r="Q26" s="690"/>
      <c r="R26" s="690"/>
      <c r="S26" s="690"/>
    </row>
    <row r="27" spans="2:21">
      <c r="B27" s="1225"/>
      <c r="C27" s="765" t="s">
        <v>52</v>
      </c>
      <c r="D27" s="690"/>
      <c r="E27" s="690"/>
      <c r="F27" s="690"/>
      <c r="G27" s="690"/>
      <c r="H27" s="690"/>
      <c r="I27" s="690"/>
      <c r="J27" s="690"/>
      <c r="K27" s="690"/>
      <c r="L27" s="690"/>
      <c r="M27" s="690"/>
      <c r="N27" s="690"/>
      <c r="O27" s="690"/>
      <c r="P27" s="690"/>
      <c r="Q27" s="690"/>
      <c r="R27" s="690"/>
      <c r="S27" s="690"/>
    </row>
    <row r="28" spans="2:21">
      <c r="B28" s="1225"/>
      <c r="C28" s="765" t="s">
        <v>53</v>
      </c>
      <c r="D28" s="690"/>
      <c r="E28" s="690"/>
      <c r="F28" s="690"/>
      <c r="G28" s="690"/>
      <c r="H28" s="690"/>
      <c r="I28" s="690"/>
      <c r="J28" s="690"/>
      <c r="K28" s="690"/>
      <c r="L28" s="690"/>
      <c r="M28" s="690"/>
      <c r="N28" s="690"/>
      <c r="O28" s="690"/>
      <c r="P28" s="690"/>
      <c r="Q28" s="690"/>
      <c r="R28" s="690"/>
      <c r="S28" s="690"/>
    </row>
    <row r="29" spans="2:21" ht="14.25">
      <c r="B29" s="1225"/>
      <c r="C29" s="765" t="s">
        <v>54</v>
      </c>
      <c r="D29" s="690"/>
      <c r="E29" s="690"/>
      <c r="F29" s="690"/>
      <c r="G29" s="690"/>
      <c r="H29" s="690"/>
      <c r="I29" s="690"/>
      <c r="J29" s="690"/>
      <c r="K29" s="690"/>
      <c r="L29" s="690"/>
      <c r="M29" s="690"/>
      <c r="N29" s="690"/>
      <c r="O29" s="690"/>
      <c r="P29" s="690"/>
      <c r="Q29" s="690"/>
      <c r="R29" s="690"/>
      <c r="S29" s="690"/>
      <c r="T29" s="933"/>
      <c r="U29" s="696"/>
    </row>
    <row r="30" spans="2:21" ht="14.25">
      <c r="B30" s="1225"/>
      <c r="C30" s="765" t="s">
        <v>55</v>
      </c>
      <c r="D30" s="690"/>
      <c r="E30" s="690"/>
      <c r="F30" s="690"/>
      <c r="G30" s="690"/>
      <c r="H30" s="690"/>
      <c r="I30" s="690"/>
      <c r="J30" s="690"/>
      <c r="K30" s="690"/>
      <c r="L30" s="690"/>
      <c r="M30" s="690"/>
      <c r="N30" s="690"/>
      <c r="O30" s="690"/>
      <c r="P30" s="690"/>
      <c r="Q30" s="690"/>
      <c r="R30" s="690"/>
      <c r="S30" s="690"/>
      <c r="T30" s="951"/>
      <c r="U30" s="696"/>
    </row>
    <row r="31" spans="2:21">
      <c r="B31" s="1226"/>
      <c r="C31" s="766" t="s">
        <v>56</v>
      </c>
      <c r="D31" s="691"/>
      <c r="E31" s="691"/>
      <c r="F31" s="691"/>
      <c r="G31" s="691"/>
      <c r="H31" s="691"/>
      <c r="I31" s="691"/>
      <c r="J31" s="691"/>
      <c r="K31" s="691"/>
      <c r="L31" s="691"/>
      <c r="M31" s="691"/>
      <c r="N31" s="691"/>
      <c r="O31" s="691"/>
      <c r="P31" s="691"/>
      <c r="Q31" s="691"/>
      <c r="R31" s="691"/>
      <c r="S31" s="691"/>
    </row>
    <row r="32" spans="2:21">
      <c r="B32" s="685" t="s">
        <v>500</v>
      </c>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L33"/>
  <sheetViews>
    <sheetView workbookViewId="0">
      <selection activeCell="N14" sqref="N14"/>
    </sheetView>
  </sheetViews>
  <sheetFormatPr baseColWidth="10" defaultColWidth="10.90625" defaultRowHeight="14.25"/>
  <cols>
    <col min="1" max="1" width="1.54296875" style="586" customWidth="1"/>
    <col min="2" max="2" width="5.26953125" style="586" customWidth="1"/>
    <col min="3" max="3" width="7.26953125" style="586" customWidth="1"/>
    <col min="4" max="11" width="9.26953125" style="586" customWidth="1"/>
    <col min="12" max="12" width="2.08984375" style="586" customWidth="1"/>
    <col min="13" max="16384" width="10.90625" style="586"/>
  </cols>
  <sheetData>
    <row r="1" spans="2:12" ht="15">
      <c r="B1" s="1104" t="s">
        <v>505</v>
      </c>
      <c r="C1" s="1104"/>
      <c r="D1" s="1104"/>
      <c r="E1" s="1104"/>
      <c r="F1" s="1104"/>
      <c r="G1" s="1104"/>
      <c r="H1" s="1104"/>
      <c r="I1" s="1104"/>
      <c r="J1" s="1104"/>
      <c r="K1" s="1104"/>
      <c r="L1" s="698"/>
    </row>
    <row r="2" spans="2:12" ht="15">
      <c r="B2" s="923"/>
      <c r="C2" s="923"/>
      <c r="D2" s="923"/>
      <c r="E2" s="923"/>
      <c r="F2" s="923"/>
      <c r="G2" s="923"/>
      <c r="H2" s="923"/>
      <c r="I2" s="923"/>
      <c r="J2" s="923"/>
      <c r="K2" s="923"/>
      <c r="L2" s="698"/>
    </row>
    <row r="3" spans="2:12" ht="15">
      <c r="B3" s="1104" t="s">
        <v>559</v>
      </c>
      <c r="C3" s="1104"/>
      <c r="D3" s="1104"/>
      <c r="E3" s="1104"/>
      <c r="F3" s="1104"/>
      <c r="G3" s="1104"/>
      <c r="H3" s="1104"/>
      <c r="I3" s="1104"/>
      <c r="J3" s="1104"/>
      <c r="K3" s="1104"/>
      <c r="L3" s="698"/>
    </row>
    <row r="4" spans="2:12" ht="15">
      <c r="B4" s="1104" t="s">
        <v>166</v>
      </c>
      <c r="C4" s="1104"/>
      <c r="D4" s="1104"/>
      <c r="E4" s="1104"/>
      <c r="F4" s="1104"/>
      <c r="G4" s="1104"/>
      <c r="H4" s="1104"/>
      <c r="I4" s="1104"/>
      <c r="J4" s="1104"/>
      <c r="K4" s="1104"/>
      <c r="L4" s="698"/>
    </row>
    <row r="5" spans="2:12">
      <c r="B5" s="1237" t="s">
        <v>160</v>
      </c>
      <c r="C5" s="1237" t="s">
        <v>96</v>
      </c>
      <c r="D5" s="1228" t="s">
        <v>494</v>
      </c>
      <c r="E5" s="1229"/>
      <c r="F5" s="1229"/>
      <c r="G5" s="1229"/>
      <c r="H5" s="1229"/>
      <c r="I5" s="1229"/>
      <c r="J5" s="1229"/>
      <c r="K5" s="1232"/>
    </row>
    <row r="6" spans="2:12" ht="54" customHeight="1">
      <c r="B6" s="1237"/>
      <c r="C6" s="1237"/>
      <c r="D6" s="724" t="s">
        <v>516</v>
      </c>
      <c r="E6" s="704" t="s">
        <v>172</v>
      </c>
      <c r="F6" s="704" t="s">
        <v>205</v>
      </c>
      <c r="G6" s="704" t="s">
        <v>508</v>
      </c>
      <c r="H6" s="704" t="s">
        <v>502</v>
      </c>
      <c r="I6" s="761" t="s">
        <v>461</v>
      </c>
      <c r="J6" s="724" t="s">
        <v>503</v>
      </c>
      <c r="K6" s="762" t="s">
        <v>204</v>
      </c>
      <c r="L6" s="699"/>
    </row>
    <row r="7" spans="2:12">
      <c r="B7" s="1224">
        <v>2020</v>
      </c>
      <c r="C7" s="687" t="s">
        <v>47</v>
      </c>
      <c r="D7" s="688">
        <v>31969</v>
      </c>
      <c r="E7" s="688">
        <v>9523</v>
      </c>
      <c r="F7" s="688">
        <v>11858</v>
      </c>
      <c r="G7" s="688">
        <v>26644</v>
      </c>
      <c r="H7" s="688">
        <v>20885</v>
      </c>
      <c r="I7" s="688">
        <v>50189</v>
      </c>
      <c r="J7" s="688">
        <v>9809</v>
      </c>
      <c r="K7" s="688">
        <v>84501</v>
      </c>
    </row>
    <row r="8" spans="2:12">
      <c r="B8" s="1225"/>
      <c r="C8" s="689" t="s">
        <v>48</v>
      </c>
      <c r="D8" s="690">
        <v>4489</v>
      </c>
      <c r="E8" s="690">
        <v>10329</v>
      </c>
      <c r="F8" s="690">
        <v>2828</v>
      </c>
      <c r="G8" s="690">
        <v>9266</v>
      </c>
      <c r="H8" s="690">
        <v>42590</v>
      </c>
      <c r="I8" s="690">
        <v>10720</v>
      </c>
      <c r="J8" s="690">
        <v>38445</v>
      </c>
      <c r="K8" s="690">
        <v>43053</v>
      </c>
    </row>
    <row r="9" spans="2:12">
      <c r="B9" s="1225"/>
      <c r="C9" s="689" t="s">
        <v>49</v>
      </c>
      <c r="D9" s="690">
        <v>1582</v>
      </c>
      <c r="E9" s="690">
        <v>3358</v>
      </c>
      <c r="F9" s="690">
        <v>2601</v>
      </c>
      <c r="G9" s="690">
        <v>5934</v>
      </c>
      <c r="H9" s="690">
        <v>18277</v>
      </c>
      <c r="I9" s="690">
        <v>6607</v>
      </c>
      <c r="J9" s="690">
        <v>43038</v>
      </c>
      <c r="K9" s="690">
        <v>29086</v>
      </c>
    </row>
    <row r="10" spans="2:12">
      <c r="B10" s="1225"/>
      <c r="C10" s="689" t="s">
        <v>57</v>
      </c>
      <c r="D10" s="690">
        <v>2355</v>
      </c>
      <c r="E10" s="690">
        <v>3103</v>
      </c>
      <c r="F10" s="690">
        <v>2746</v>
      </c>
      <c r="G10" s="690">
        <v>4070</v>
      </c>
      <c r="H10" s="690">
        <v>7142</v>
      </c>
      <c r="I10" s="690">
        <v>5226</v>
      </c>
      <c r="J10" s="690">
        <v>31643</v>
      </c>
      <c r="K10" s="690">
        <v>18034</v>
      </c>
    </row>
    <row r="11" spans="2:12">
      <c r="B11" s="1225"/>
      <c r="C11" s="689" t="s">
        <v>58</v>
      </c>
      <c r="D11" s="690">
        <v>5195</v>
      </c>
      <c r="E11" s="690">
        <v>1348</v>
      </c>
      <c r="F11" s="690">
        <v>3683</v>
      </c>
      <c r="G11" s="690">
        <v>3222</v>
      </c>
      <c r="H11" s="690">
        <v>7738</v>
      </c>
      <c r="I11" s="690">
        <v>5399</v>
      </c>
      <c r="J11" s="690">
        <v>7540</v>
      </c>
      <c r="K11" s="690">
        <v>20107</v>
      </c>
    </row>
    <row r="12" spans="2:12">
      <c r="B12" s="1225"/>
      <c r="C12" s="689" t="s">
        <v>50</v>
      </c>
      <c r="D12" s="690">
        <v>2850</v>
      </c>
      <c r="E12" s="690">
        <v>1874</v>
      </c>
      <c r="F12" s="690">
        <v>1092</v>
      </c>
      <c r="G12" s="690">
        <v>5486</v>
      </c>
      <c r="H12" s="690">
        <v>4973</v>
      </c>
      <c r="I12" s="690">
        <v>6273</v>
      </c>
      <c r="J12" s="690">
        <v>3084</v>
      </c>
      <c r="K12" s="690">
        <v>13264</v>
      </c>
    </row>
    <row r="13" spans="2:12">
      <c r="B13" s="1225"/>
      <c r="C13" s="689" t="s">
        <v>51</v>
      </c>
      <c r="D13" s="690">
        <v>5043</v>
      </c>
      <c r="E13" s="690">
        <v>2863</v>
      </c>
      <c r="F13" s="690">
        <v>713</v>
      </c>
      <c r="G13" s="690">
        <v>3545</v>
      </c>
      <c r="H13" s="690">
        <v>4646</v>
      </c>
      <c r="I13" s="690">
        <v>5924</v>
      </c>
      <c r="J13" s="690">
        <v>2240</v>
      </c>
      <c r="K13" s="690">
        <v>30069</v>
      </c>
    </row>
    <row r="14" spans="2:12">
      <c r="B14" s="1225"/>
      <c r="C14" s="689" t="s">
        <v>52</v>
      </c>
      <c r="D14" s="690">
        <v>3028</v>
      </c>
      <c r="E14" s="690">
        <v>1766</v>
      </c>
      <c r="F14" s="690">
        <v>1141</v>
      </c>
      <c r="G14" s="690">
        <v>3287</v>
      </c>
      <c r="H14" s="690">
        <v>8806</v>
      </c>
      <c r="I14" s="690">
        <v>5906</v>
      </c>
      <c r="J14" s="690">
        <v>1175</v>
      </c>
      <c r="K14" s="690">
        <v>33679</v>
      </c>
    </row>
    <row r="15" spans="2:12">
      <c r="B15" s="1225"/>
      <c r="C15" s="689" t="s">
        <v>53</v>
      </c>
      <c r="D15" s="690">
        <v>3671</v>
      </c>
      <c r="E15" s="690">
        <v>2109</v>
      </c>
      <c r="F15" s="690">
        <v>2178</v>
      </c>
      <c r="G15" s="690">
        <v>2380</v>
      </c>
      <c r="H15" s="690">
        <v>4583</v>
      </c>
      <c r="I15" s="690">
        <v>6005</v>
      </c>
      <c r="J15" s="690">
        <v>444</v>
      </c>
      <c r="K15" s="690">
        <v>22526</v>
      </c>
    </row>
    <row r="16" spans="2:12">
      <c r="B16" s="1225"/>
      <c r="C16" s="689" t="s">
        <v>54</v>
      </c>
      <c r="D16" s="690">
        <v>8672</v>
      </c>
      <c r="E16" s="690">
        <v>1858</v>
      </c>
      <c r="F16" s="690">
        <v>3650</v>
      </c>
      <c r="G16" s="690">
        <v>5323</v>
      </c>
      <c r="H16" s="690">
        <v>6599</v>
      </c>
      <c r="I16" s="690">
        <v>8422</v>
      </c>
      <c r="J16" s="690">
        <v>12155</v>
      </c>
      <c r="K16" s="690">
        <v>20796</v>
      </c>
    </row>
    <row r="17" spans="2:12">
      <c r="B17" s="1225"/>
      <c r="C17" s="689" t="s">
        <v>55</v>
      </c>
      <c r="D17" s="690">
        <v>3554</v>
      </c>
      <c r="E17" s="690">
        <v>483</v>
      </c>
      <c r="F17" s="690">
        <v>929</v>
      </c>
      <c r="G17" s="690">
        <v>3157</v>
      </c>
      <c r="H17" s="690">
        <v>3627</v>
      </c>
      <c r="I17" s="690">
        <v>7057</v>
      </c>
      <c r="J17" s="690">
        <v>1844</v>
      </c>
      <c r="K17" s="690">
        <v>15410</v>
      </c>
    </row>
    <row r="18" spans="2:12">
      <c r="B18" s="1226"/>
      <c r="C18" s="689" t="s">
        <v>56</v>
      </c>
      <c r="D18" s="691">
        <v>11333</v>
      </c>
      <c r="E18" s="691">
        <v>3776</v>
      </c>
      <c r="F18" s="691">
        <v>13765</v>
      </c>
      <c r="G18" s="691">
        <v>1857</v>
      </c>
      <c r="H18" s="691">
        <v>2311</v>
      </c>
      <c r="I18" s="691">
        <v>2062</v>
      </c>
      <c r="J18" s="691">
        <v>2524</v>
      </c>
      <c r="K18" s="691">
        <v>42363</v>
      </c>
    </row>
    <row r="19" spans="2:12">
      <c r="B19" s="1224">
        <v>2021</v>
      </c>
      <c r="C19" s="764" t="s">
        <v>47</v>
      </c>
      <c r="D19" s="688">
        <v>27605</v>
      </c>
      <c r="E19" s="688">
        <v>15703</v>
      </c>
      <c r="F19" s="688">
        <v>9146</v>
      </c>
      <c r="G19" s="688">
        <v>24407</v>
      </c>
      <c r="H19" s="688">
        <v>11052</v>
      </c>
      <c r="I19" s="688">
        <v>41088</v>
      </c>
      <c r="J19" s="688">
        <v>3917</v>
      </c>
      <c r="K19" s="688">
        <v>66414</v>
      </c>
      <c r="L19" s="763"/>
    </row>
    <row r="20" spans="2:12">
      <c r="B20" s="1225"/>
      <c r="C20" s="765" t="s">
        <v>48</v>
      </c>
      <c r="D20" s="690"/>
      <c r="E20" s="690"/>
      <c r="F20" s="690"/>
      <c r="G20" s="690"/>
      <c r="H20" s="690"/>
      <c r="I20" s="690"/>
      <c r="J20" s="690"/>
      <c r="K20" s="690"/>
      <c r="L20" s="763"/>
    </row>
    <row r="21" spans="2:12">
      <c r="B21" s="1225"/>
      <c r="C21" s="765" t="s">
        <v>49</v>
      </c>
      <c r="D21" s="690"/>
      <c r="E21" s="690"/>
      <c r="F21" s="690"/>
      <c r="G21" s="690"/>
      <c r="H21" s="690"/>
      <c r="I21" s="690"/>
      <c r="J21" s="690"/>
      <c r="K21" s="690"/>
      <c r="L21" s="763"/>
    </row>
    <row r="22" spans="2:12">
      <c r="B22" s="1225"/>
      <c r="C22" s="765" t="s">
        <v>57</v>
      </c>
      <c r="D22" s="690"/>
      <c r="E22" s="690"/>
      <c r="F22" s="690"/>
      <c r="G22" s="690"/>
      <c r="H22" s="690"/>
      <c r="I22" s="690"/>
      <c r="J22" s="690"/>
      <c r="K22" s="690"/>
      <c r="L22" s="763"/>
    </row>
    <row r="23" spans="2:12">
      <c r="B23" s="1225"/>
      <c r="C23" s="765" t="s">
        <v>58</v>
      </c>
      <c r="D23" s="690"/>
      <c r="E23" s="690"/>
      <c r="F23" s="690"/>
      <c r="G23" s="690"/>
      <c r="H23" s="690"/>
      <c r="I23" s="690"/>
      <c r="J23" s="690"/>
      <c r="K23" s="690"/>
      <c r="L23" s="763"/>
    </row>
    <row r="24" spans="2:12">
      <c r="B24" s="1225"/>
      <c r="C24" s="765" t="s">
        <v>50</v>
      </c>
      <c r="D24" s="690"/>
      <c r="E24" s="690"/>
      <c r="F24" s="690"/>
      <c r="G24" s="690"/>
      <c r="H24" s="690"/>
      <c r="I24" s="690"/>
      <c r="J24" s="690"/>
      <c r="K24" s="690"/>
      <c r="L24" s="763"/>
    </row>
    <row r="25" spans="2:12">
      <c r="B25" s="1225"/>
      <c r="C25" s="765" t="s">
        <v>51</v>
      </c>
      <c r="D25" s="690"/>
      <c r="E25" s="690"/>
      <c r="F25" s="690"/>
      <c r="G25" s="690"/>
      <c r="H25" s="690"/>
      <c r="I25" s="690"/>
      <c r="J25" s="690"/>
      <c r="K25" s="690"/>
      <c r="L25" s="763"/>
    </row>
    <row r="26" spans="2:12">
      <c r="B26" s="1225"/>
      <c r="C26" s="765" t="s">
        <v>52</v>
      </c>
      <c r="D26" s="690"/>
      <c r="E26" s="690"/>
      <c r="F26" s="690"/>
      <c r="G26" s="690"/>
      <c r="H26" s="690"/>
      <c r="I26" s="690"/>
      <c r="J26" s="690"/>
      <c r="K26" s="690"/>
      <c r="L26" s="763"/>
    </row>
    <row r="27" spans="2:12">
      <c r="B27" s="1225"/>
      <c r="C27" s="765" t="s">
        <v>53</v>
      </c>
      <c r="D27" s="690"/>
      <c r="E27" s="690"/>
      <c r="F27" s="690"/>
      <c r="G27" s="690"/>
      <c r="H27" s="690"/>
      <c r="I27" s="690"/>
      <c r="J27" s="690"/>
      <c r="K27" s="690"/>
      <c r="L27" s="763"/>
    </row>
    <row r="28" spans="2:12">
      <c r="B28" s="1225"/>
      <c r="C28" s="765" t="s">
        <v>54</v>
      </c>
      <c r="D28" s="690"/>
      <c r="E28" s="690"/>
      <c r="F28" s="690"/>
      <c r="G28" s="690"/>
      <c r="H28" s="690"/>
      <c r="I28" s="690"/>
      <c r="J28" s="690"/>
      <c r="K28" s="690"/>
      <c r="L28" s="763"/>
    </row>
    <row r="29" spans="2:12">
      <c r="B29" s="1225"/>
      <c r="C29" s="765" t="s">
        <v>55</v>
      </c>
      <c r="D29" s="690"/>
      <c r="E29" s="690"/>
      <c r="F29" s="690"/>
      <c r="G29" s="690"/>
      <c r="H29" s="690"/>
      <c r="I29" s="690"/>
      <c r="J29" s="690"/>
      <c r="K29" s="690"/>
      <c r="L29" s="763"/>
    </row>
    <row r="30" spans="2:12">
      <c r="B30" s="1226"/>
      <c r="C30" s="766" t="s">
        <v>56</v>
      </c>
      <c r="D30" s="691"/>
      <c r="E30" s="691"/>
      <c r="F30" s="691"/>
      <c r="G30" s="691"/>
      <c r="H30" s="691"/>
      <c r="I30" s="691"/>
      <c r="J30" s="691"/>
      <c r="K30" s="691"/>
      <c r="L30" s="763"/>
    </row>
    <row r="31" spans="2:12">
      <c r="B31" s="685" t="s">
        <v>500</v>
      </c>
      <c r="C31" s="696"/>
    </row>
    <row r="32" spans="2:12">
      <c r="C32" s="696"/>
    </row>
    <row r="33" spans="3:3">
      <c r="C33" s="700"/>
    </row>
  </sheetData>
  <mergeCells count="8">
    <mergeCell ref="B1:K1"/>
    <mergeCell ref="B19:B30"/>
    <mergeCell ref="D5:K5"/>
    <mergeCell ref="B3:K3"/>
    <mergeCell ref="B4:K4"/>
    <mergeCell ref="B7:B18"/>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5" tint="0.79998168889431442"/>
    <pageSetUpPr fitToPage="1"/>
  </sheetPr>
  <dimension ref="A1:J31"/>
  <sheetViews>
    <sheetView workbookViewId="0">
      <selection activeCell="N15" sqref="N15"/>
    </sheetView>
  </sheetViews>
  <sheetFormatPr baseColWidth="10" defaultRowHeight="14.25" customHeight="1"/>
  <cols>
    <col min="1" max="1" width="6.453125" customWidth="1"/>
    <col min="2" max="10" width="8.54296875" customWidth="1"/>
  </cols>
  <sheetData>
    <row r="1" spans="1:10" ht="14.25" customHeight="1">
      <c r="A1" s="1104" t="s">
        <v>572</v>
      </c>
      <c r="B1" s="1104"/>
      <c r="C1" s="1104"/>
      <c r="D1" s="1104"/>
      <c r="E1" s="1104"/>
      <c r="F1" s="1104"/>
      <c r="G1" s="1104"/>
      <c r="H1" s="1104"/>
      <c r="I1" s="1104"/>
      <c r="J1" s="1104"/>
    </row>
    <row r="2" spans="1:10" ht="14.25" customHeight="1">
      <c r="A2" s="923"/>
      <c r="B2" s="923"/>
      <c r="C2" s="923"/>
      <c r="D2" s="923"/>
      <c r="E2" s="923"/>
      <c r="F2" s="923"/>
      <c r="G2" s="923"/>
      <c r="H2" s="923"/>
      <c r="I2" s="923"/>
      <c r="J2" s="923"/>
    </row>
    <row r="3" spans="1:10" ht="14.25" customHeight="1">
      <c r="A3" s="1104" t="s">
        <v>571</v>
      </c>
      <c r="B3" s="1104"/>
      <c r="C3" s="1104"/>
      <c r="D3" s="1104"/>
      <c r="E3" s="1104"/>
      <c r="F3" s="1104"/>
      <c r="G3" s="1104"/>
      <c r="H3" s="1104"/>
      <c r="I3" s="1104"/>
      <c r="J3" s="1104"/>
    </row>
    <row r="4" spans="1:10" ht="14.25" customHeight="1">
      <c r="A4" s="1104" t="s">
        <v>166</v>
      </c>
      <c r="B4" s="1104"/>
      <c r="C4" s="1104"/>
      <c r="D4" s="1104"/>
      <c r="E4" s="1104"/>
      <c r="F4" s="1104"/>
      <c r="G4" s="1104"/>
      <c r="H4" s="1104"/>
      <c r="I4" s="1104"/>
      <c r="J4" s="1104"/>
    </row>
    <row r="5" spans="1:10" ht="14.25" customHeight="1">
      <c r="A5" s="1237" t="s">
        <v>160</v>
      </c>
      <c r="B5" s="1237" t="s">
        <v>96</v>
      </c>
      <c r="C5" s="1228" t="s">
        <v>494</v>
      </c>
      <c r="D5" s="1229"/>
      <c r="E5" s="1229"/>
      <c r="F5" s="1229"/>
      <c r="G5" s="1229"/>
      <c r="H5" s="1229"/>
      <c r="I5" s="1229"/>
      <c r="J5" s="1232"/>
    </row>
    <row r="6" spans="1:10" ht="56.25" customHeight="1">
      <c r="A6" s="1237"/>
      <c r="B6" s="1237"/>
      <c r="C6" s="814" t="s">
        <v>516</v>
      </c>
      <c r="D6" s="813" t="s">
        <v>172</v>
      </c>
      <c r="E6" s="813" t="s">
        <v>205</v>
      </c>
      <c r="F6" s="813" t="s">
        <v>508</v>
      </c>
      <c r="G6" s="813" t="s">
        <v>502</v>
      </c>
      <c r="H6" s="813" t="s">
        <v>461</v>
      </c>
      <c r="I6" s="814" t="s">
        <v>503</v>
      </c>
      <c r="J6" s="762" t="s">
        <v>204</v>
      </c>
    </row>
    <row r="7" spans="1:10" ht="14.25" customHeight="1">
      <c r="A7" s="1224">
        <v>2020</v>
      </c>
      <c r="B7" s="687" t="s">
        <v>47</v>
      </c>
      <c r="C7" s="688">
        <v>14488</v>
      </c>
      <c r="D7" s="688">
        <v>13801</v>
      </c>
      <c r="E7" s="688">
        <v>6127</v>
      </c>
      <c r="F7" s="688">
        <v>0</v>
      </c>
      <c r="G7" s="688">
        <v>0</v>
      </c>
      <c r="H7" s="688">
        <v>0</v>
      </c>
      <c r="I7" s="688">
        <v>1213</v>
      </c>
      <c r="J7" s="688">
        <v>96100</v>
      </c>
    </row>
    <row r="8" spans="1:10" ht="14.25" customHeight="1">
      <c r="A8" s="1225"/>
      <c r="B8" s="689" t="s">
        <v>48</v>
      </c>
      <c r="C8" s="690">
        <v>0</v>
      </c>
      <c r="D8" s="690">
        <v>5514</v>
      </c>
      <c r="E8" s="690">
        <v>6032</v>
      </c>
      <c r="F8" s="690">
        <v>301</v>
      </c>
      <c r="G8" s="690">
        <v>0</v>
      </c>
      <c r="H8" s="690">
        <v>820</v>
      </c>
      <c r="I8" s="690">
        <v>10000</v>
      </c>
      <c r="J8" s="690">
        <v>19868</v>
      </c>
    </row>
    <row r="9" spans="1:10" ht="14.25" customHeight="1">
      <c r="A9" s="1225"/>
      <c r="B9" s="689" t="s">
        <v>49</v>
      </c>
      <c r="C9" s="690">
        <v>28</v>
      </c>
      <c r="D9" s="690">
        <v>13555</v>
      </c>
      <c r="E9" s="690">
        <v>11595</v>
      </c>
      <c r="F9" s="690">
        <v>3021</v>
      </c>
      <c r="G9" s="690">
        <v>0</v>
      </c>
      <c r="H9" s="690">
        <v>0</v>
      </c>
      <c r="I9" s="690">
        <v>1025</v>
      </c>
      <c r="J9" s="690">
        <v>38652</v>
      </c>
    </row>
    <row r="10" spans="1:10" ht="14.25" customHeight="1">
      <c r="A10" s="1225"/>
      <c r="B10" s="689" t="s">
        <v>57</v>
      </c>
      <c r="C10" s="690">
        <v>588</v>
      </c>
      <c r="D10" s="690">
        <v>8294</v>
      </c>
      <c r="E10" s="690">
        <v>12053</v>
      </c>
      <c r="F10" s="690">
        <v>6536</v>
      </c>
      <c r="G10" s="690">
        <v>869</v>
      </c>
      <c r="H10" s="690">
        <v>0</v>
      </c>
      <c r="I10" s="690">
        <v>0</v>
      </c>
      <c r="J10" s="690">
        <v>72307</v>
      </c>
    </row>
    <row r="11" spans="1:10" ht="14.25" customHeight="1">
      <c r="A11" s="1225"/>
      <c r="B11" s="689" t="s">
        <v>58</v>
      </c>
      <c r="C11" s="690">
        <v>15781</v>
      </c>
      <c r="D11" s="690">
        <v>3855</v>
      </c>
      <c r="E11" s="690">
        <v>202</v>
      </c>
      <c r="F11" s="690">
        <v>3865</v>
      </c>
      <c r="G11" s="690">
        <v>644</v>
      </c>
      <c r="H11" s="690">
        <v>2030</v>
      </c>
      <c r="I11" s="690">
        <v>1097</v>
      </c>
      <c r="J11" s="690">
        <v>42115</v>
      </c>
    </row>
    <row r="12" spans="1:10" ht="14.25" customHeight="1">
      <c r="A12" s="1225"/>
      <c r="B12" s="689" t="s">
        <v>50</v>
      </c>
      <c r="C12" s="690">
        <v>13122</v>
      </c>
      <c r="D12" s="690">
        <v>7413</v>
      </c>
      <c r="E12" s="690">
        <v>8484</v>
      </c>
      <c r="F12" s="690">
        <v>3352</v>
      </c>
      <c r="G12" s="690">
        <v>406</v>
      </c>
      <c r="H12" s="690">
        <v>2000</v>
      </c>
      <c r="I12" s="690">
        <v>737</v>
      </c>
      <c r="J12" s="690">
        <v>29468</v>
      </c>
    </row>
    <row r="13" spans="1:10" ht="14.25" customHeight="1">
      <c r="A13" s="1225"/>
      <c r="B13" s="689" t="s">
        <v>51</v>
      </c>
      <c r="C13" s="690">
        <v>1012</v>
      </c>
      <c r="D13" s="690">
        <v>15461</v>
      </c>
      <c r="E13" s="690">
        <v>22752</v>
      </c>
      <c r="F13" s="690">
        <v>3946</v>
      </c>
      <c r="G13" s="690">
        <v>1081</v>
      </c>
      <c r="H13" s="690">
        <v>1485</v>
      </c>
      <c r="I13" s="690">
        <v>6153</v>
      </c>
      <c r="J13" s="690">
        <v>45030</v>
      </c>
    </row>
    <row r="14" spans="1:10" ht="14.25" customHeight="1">
      <c r="A14" s="1225"/>
      <c r="B14" s="689" t="s">
        <v>52</v>
      </c>
      <c r="C14" s="690">
        <v>15372</v>
      </c>
      <c r="D14" s="690">
        <v>7576</v>
      </c>
      <c r="E14" s="690">
        <v>12395</v>
      </c>
      <c r="F14" s="690">
        <v>1224</v>
      </c>
      <c r="G14" s="690">
        <v>145</v>
      </c>
      <c r="H14" s="690">
        <v>195</v>
      </c>
      <c r="I14" s="690">
        <v>1060</v>
      </c>
      <c r="J14" s="690">
        <v>47519</v>
      </c>
    </row>
    <row r="15" spans="1:10" ht="14.25" customHeight="1">
      <c r="A15" s="1225"/>
      <c r="B15" s="689" t="s">
        <v>53</v>
      </c>
      <c r="C15" s="690">
        <v>0</v>
      </c>
      <c r="D15" s="690">
        <v>12616</v>
      </c>
      <c r="E15" s="690">
        <v>13573</v>
      </c>
      <c r="F15" s="690">
        <v>10939</v>
      </c>
      <c r="G15" s="690">
        <v>0</v>
      </c>
      <c r="H15" s="690">
        <v>0</v>
      </c>
      <c r="I15" s="690">
        <v>8990</v>
      </c>
      <c r="J15" s="690">
        <v>51165</v>
      </c>
    </row>
    <row r="16" spans="1:10" ht="14.25" customHeight="1">
      <c r="A16" s="1225"/>
      <c r="B16" s="689" t="s">
        <v>54</v>
      </c>
      <c r="C16" s="690">
        <v>1990</v>
      </c>
      <c r="D16" s="690">
        <v>10761</v>
      </c>
      <c r="E16" s="690">
        <v>9790</v>
      </c>
      <c r="F16" s="690">
        <v>10106</v>
      </c>
      <c r="G16" s="690">
        <v>0</v>
      </c>
      <c r="H16" s="690">
        <v>0</v>
      </c>
      <c r="I16" s="690">
        <v>4858</v>
      </c>
      <c r="J16" s="690">
        <v>71419</v>
      </c>
    </row>
    <row r="17" spans="1:10" ht="14.25" customHeight="1">
      <c r="A17" s="1225"/>
      <c r="B17" s="689" t="s">
        <v>55</v>
      </c>
      <c r="C17" s="690">
        <v>0</v>
      </c>
      <c r="D17" s="690">
        <v>3468</v>
      </c>
      <c r="E17" s="690">
        <v>0</v>
      </c>
      <c r="F17" s="690">
        <v>10225</v>
      </c>
      <c r="G17" s="690">
        <v>0</v>
      </c>
      <c r="H17" s="690">
        <v>0</v>
      </c>
      <c r="I17" s="690">
        <v>9167</v>
      </c>
      <c r="J17" s="690">
        <v>26513</v>
      </c>
    </row>
    <row r="18" spans="1:10" ht="14.25" customHeight="1">
      <c r="A18" s="1226"/>
      <c r="B18" s="689" t="s">
        <v>56</v>
      </c>
      <c r="C18" s="691">
        <v>5</v>
      </c>
      <c r="D18" s="691">
        <v>12253</v>
      </c>
      <c r="E18" s="691">
        <v>17461</v>
      </c>
      <c r="F18" s="691">
        <v>0</v>
      </c>
      <c r="G18" s="691">
        <v>0</v>
      </c>
      <c r="H18" s="691">
        <v>0</v>
      </c>
      <c r="I18" s="691">
        <v>7252</v>
      </c>
      <c r="J18" s="691">
        <v>50833</v>
      </c>
    </row>
    <row r="19" spans="1:10" ht="14.25" customHeight="1">
      <c r="A19" s="1224">
        <v>2021</v>
      </c>
      <c r="B19" s="764" t="s">
        <v>47</v>
      </c>
      <c r="C19" s="688">
        <v>9616</v>
      </c>
      <c r="D19" s="688">
        <v>5047</v>
      </c>
      <c r="E19" s="688">
        <v>583</v>
      </c>
      <c r="F19" s="688">
        <v>2029</v>
      </c>
      <c r="G19" s="688">
        <v>0</v>
      </c>
      <c r="H19" s="688">
        <v>0</v>
      </c>
      <c r="I19" s="688">
        <v>1000</v>
      </c>
      <c r="J19" s="688">
        <v>34648</v>
      </c>
    </row>
    <row r="20" spans="1:10" ht="14.25" customHeight="1">
      <c r="A20" s="1225"/>
      <c r="B20" s="765" t="s">
        <v>48</v>
      </c>
      <c r="C20" s="690"/>
      <c r="D20" s="690"/>
      <c r="E20" s="690"/>
      <c r="F20" s="690"/>
      <c r="G20" s="690"/>
      <c r="H20" s="690"/>
      <c r="I20" s="690"/>
      <c r="J20" s="690"/>
    </row>
    <row r="21" spans="1:10" ht="14.25" customHeight="1">
      <c r="A21" s="1225"/>
      <c r="B21" s="765" t="s">
        <v>49</v>
      </c>
      <c r="C21" s="690"/>
      <c r="D21" s="690"/>
      <c r="E21" s="690"/>
      <c r="F21" s="690"/>
      <c r="G21" s="690"/>
      <c r="H21" s="690"/>
      <c r="I21" s="690"/>
      <c r="J21" s="690"/>
    </row>
    <row r="22" spans="1:10" ht="14.25" customHeight="1">
      <c r="A22" s="1225"/>
      <c r="B22" s="765" t="s">
        <v>57</v>
      </c>
      <c r="C22" s="690"/>
      <c r="D22" s="690"/>
      <c r="E22" s="690"/>
      <c r="F22" s="690"/>
      <c r="G22" s="690"/>
      <c r="H22" s="690"/>
      <c r="I22" s="690"/>
      <c r="J22" s="690"/>
    </row>
    <row r="23" spans="1:10" ht="14.25" customHeight="1">
      <c r="A23" s="1225"/>
      <c r="B23" s="765" t="s">
        <v>58</v>
      </c>
      <c r="C23" s="690"/>
      <c r="D23" s="690"/>
      <c r="E23" s="690"/>
      <c r="F23" s="690"/>
      <c r="G23" s="690"/>
      <c r="H23" s="690"/>
      <c r="I23" s="690"/>
      <c r="J23" s="690"/>
    </row>
    <row r="24" spans="1:10" ht="14.25" customHeight="1">
      <c r="A24" s="1225"/>
      <c r="B24" s="765" t="s">
        <v>50</v>
      </c>
      <c r="C24" s="690"/>
      <c r="D24" s="690"/>
      <c r="E24" s="690"/>
      <c r="F24" s="690"/>
      <c r="G24" s="690"/>
      <c r="H24" s="690"/>
      <c r="I24" s="690"/>
      <c r="J24" s="690"/>
    </row>
    <row r="25" spans="1:10" ht="14.25" customHeight="1">
      <c r="A25" s="1225"/>
      <c r="B25" s="765" t="s">
        <v>51</v>
      </c>
      <c r="C25" s="690"/>
      <c r="D25" s="690"/>
      <c r="E25" s="690"/>
      <c r="F25" s="690"/>
      <c r="G25" s="690"/>
      <c r="H25" s="690"/>
      <c r="I25" s="690"/>
      <c r="J25" s="690"/>
    </row>
    <row r="26" spans="1:10" ht="14.25" customHeight="1">
      <c r="A26" s="1225"/>
      <c r="B26" s="765" t="s">
        <v>52</v>
      </c>
      <c r="C26" s="690"/>
      <c r="D26" s="690"/>
      <c r="E26" s="690"/>
      <c r="F26" s="690"/>
      <c r="G26" s="690"/>
      <c r="H26" s="690"/>
      <c r="I26" s="690"/>
      <c r="J26" s="690"/>
    </row>
    <row r="27" spans="1:10" ht="14.25" customHeight="1">
      <c r="A27" s="1225"/>
      <c r="B27" s="765" t="s">
        <v>53</v>
      </c>
      <c r="C27" s="690"/>
      <c r="D27" s="690"/>
      <c r="E27" s="690"/>
      <c r="F27" s="690"/>
      <c r="G27" s="690"/>
      <c r="H27" s="690"/>
      <c r="I27" s="690"/>
      <c r="J27" s="690"/>
    </row>
    <row r="28" spans="1:10" ht="14.25" customHeight="1">
      <c r="A28" s="1225"/>
      <c r="B28" s="765" t="s">
        <v>54</v>
      </c>
      <c r="C28" s="690"/>
      <c r="D28" s="690"/>
      <c r="E28" s="690"/>
      <c r="F28" s="690"/>
      <c r="G28" s="690"/>
      <c r="H28" s="690"/>
      <c r="I28" s="690"/>
      <c r="J28" s="690"/>
    </row>
    <row r="29" spans="1:10" ht="14.25" customHeight="1">
      <c r="A29" s="1225"/>
      <c r="B29" s="765" t="s">
        <v>55</v>
      </c>
      <c r="C29" s="690"/>
      <c r="D29" s="690"/>
      <c r="E29" s="690"/>
      <c r="F29" s="690"/>
      <c r="G29" s="690"/>
      <c r="H29" s="690"/>
      <c r="I29" s="690"/>
      <c r="J29" s="690"/>
    </row>
    <row r="30" spans="1:10" ht="14.25" customHeight="1">
      <c r="A30" s="1226"/>
      <c r="B30" s="766" t="s">
        <v>56</v>
      </c>
      <c r="C30" s="691"/>
      <c r="D30" s="691"/>
      <c r="E30" s="691"/>
      <c r="F30" s="691"/>
      <c r="G30" s="691"/>
      <c r="H30" s="691"/>
      <c r="I30" s="691"/>
      <c r="J30" s="691"/>
    </row>
    <row r="31" spans="1:10" ht="14.25" customHeight="1">
      <c r="A31" s="685" t="s">
        <v>500</v>
      </c>
      <c r="B31" s="696"/>
      <c r="C31" s="586"/>
      <c r="D31" s="586"/>
      <c r="E31" s="586"/>
      <c r="F31" s="586"/>
      <c r="G31" s="586"/>
      <c r="H31" s="586"/>
      <c r="I31" s="586"/>
      <c r="J31" s="586"/>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5" tint="0.79998168889431442"/>
    <pageSetUpPr fitToPage="1"/>
  </sheetPr>
  <dimension ref="A1:F31"/>
  <sheetViews>
    <sheetView workbookViewId="0">
      <selection activeCell="I17" sqref="I17"/>
    </sheetView>
  </sheetViews>
  <sheetFormatPr baseColWidth="10" defaultRowHeight="18"/>
  <cols>
    <col min="1" max="5" width="10" customWidth="1"/>
  </cols>
  <sheetData>
    <row r="1" spans="1:6" ht="14.25" customHeight="1">
      <c r="A1" s="1104" t="s">
        <v>575</v>
      </c>
      <c r="B1" s="1104"/>
      <c r="C1" s="1104"/>
      <c r="D1" s="1104"/>
      <c r="E1" s="1104"/>
      <c r="F1" s="1104"/>
    </row>
    <row r="2" spans="1:6" ht="14.25" customHeight="1">
      <c r="A2" s="923"/>
      <c r="B2" s="923"/>
      <c r="C2" s="923"/>
      <c r="D2" s="923"/>
      <c r="E2" s="923"/>
      <c r="F2" s="923"/>
    </row>
    <row r="3" spans="1:6" ht="14.25" customHeight="1">
      <c r="A3" s="1104" t="s">
        <v>611</v>
      </c>
      <c r="B3" s="1104"/>
      <c r="C3" s="1104"/>
      <c r="D3" s="1104"/>
      <c r="E3" s="1104"/>
      <c r="F3" s="1104"/>
    </row>
    <row r="4" spans="1:6" ht="14.25" customHeight="1">
      <c r="A4" s="1104" t="s">
        <v>166</v>
      </c>
      <c r="B4" s="1104"/>
      <c r="C4" s="1104"/>
      <c r="D4" s="1104"/>
      <c r="E4" s="1104"/>
      <c r="F4" s="1104"/>
    </row>
    <row r="5" spans="1:6" ht="14.25" customHeight="1">
      <c r="A5" s="1237" t="s">
        <v>160</v>
      </c>
      <c r="B5" s="1237" t="s">
        <v>96</v>
      </c>
      <c r="C5" s="1238" t="s">
        <v>609</v>
      </c>
      <c r="D5" s="1238"/>
      <c r="E5" s="1238"/>
      <c r="F5" s="762" t="s">
        <v>610</v>
      </c>
    </row>
    <row r="6" spans="1:6" ht="21.95" customHeight="1">
      <c r="A6" s="1237"/>
      <c r="B6" s="1237"/>
      <c r="C6" s="813" t="s">
        <v>508</v>
      </c>
      <c r="D6" s="813" t="s">
        <v>502</v>
      </c>
      <c r="E6" s="813" t="s">
        <v>461</v>
      </c>
      <c r="F6" s="762" t="s">
        <v>502</v>
      </c>
    </row>
    <row r="7" spans="1:6" ht="14.25" customHeight="1">
      <c r="A7" s="1224">
        <v>2020</v>
      </c>
      <c r="B7" s="687" t="s">
        <v>47</v>
      </c>
      <c r="C7" s="688">
        <v>12304</v>
      </c>
      <c r="D7" s="688">
        <v>930</v>
      </c>
      <c r="E7" s="688">
        <v>361</v>
      </c>
      <c r="F7" s="688">
        <v>145</v>
      </c>
    </row>
    <row r="8" spans="1:6" ht="14.25" customHeight="1">
      <c r="A8" s="1225"/>
      <c r="B8" s="689" t="s">
        <v>48</v>
      </c>
      <c r="C8" s="690">
        <v>1221</v>
      </c>
      <c r="D8" s="690">
        <v>1667</v>
      </c>
      <c r="E8" s="690">
        <v>563</v>
      </c>
      <c r="F8" s="690">
        <v>0</v>
      </c>
    </row>
    <row r="9" spans="1:6" ht="14.25" customHeight="1">
      <c r="A9" s="1225"/>
      <c r="B9" s="689" t="s">
        <v>49</v>
      </c>
      <c r="C9" s="690">
        <v>1</v>
      </c>
      <c r="D9" s="690">
        <v>1426</v>
      </c>
      <c r="E9" s="690">
        <v>480</v>
      </c>
      <c r="F9" s="690">
        <v>616</v>
      </c>
    </row>
    <row r="10" spans="1:6" ht="14.25" customHeight="1">
      <c r="A10" s="1225"/>
      <c r="B10" s="689" t="s">
        <v>57</v>
      </c>
      <c r="C10" s="690">
        <v>0</v>
      </c>
      <c r="D10" s="690">
        <v>764</v>
      </c>
      <c r="E10" s="690">
        <v>211</v>
      </c>
      <c r="F10" s="690">
        <v>340</v>
      </c>
    </row>
    <row r="11" spans="1:6" ht="14.25" customHeight="1">
      <c r="A11" s="1225"/>
      <c r="B11" s="689" t="s">
        <v>58</v>
      </c>
      <c r="C11" s="690">
        <v>0</v>
      </c>
      <c r="D11" s="690">
        <v>761</v>
      </c>
      <c r="E11" s="690">
        <v>293</v>
      </c>
      <c r="F11" s="690">
        <v>134</v>
      </c>
    </row>
    <row r="12" spans="1:6" ht="14.25" customHeight="1">
      <c r="A12" s="1225"/>
      <c r="B12" s="689" t="s">
        <v>50</v>
      </c>
      <c r="C12" s="690">
        <v>0</v>
      </c>
      <c r="D12" s="690">
        <v>688</v>
      </c>
      <c r="E12" s="690">
        <v>238</v>
      </c>
      <c r="F12" s="690">
        <v>1119</v>
      </c>
    </row>
    <row r="13" spans="1:6" ht="14.25" customHeight="1">
      <c r="A13" s="1225"/>
      <c r="B13" s="689" t="s">
        <v>51</v>
      </c>
      <c r="C13" s="690">
        <v>0</v>
      </c>
      <c r="D13" s="690">
        <v>617</v>
      </c>
      <c r="E13" s="690">
        <v>244</v>
      </c>
      <c r="F13" s="690">
        <v>165</v>
      </c>
    </row>
    <row r="14" spans="1:6" ht="14.25" customHeight="1">
      <c r="A14" s="1225"/>
      <c r="B14" s="689" t="s">
        <v>52</v>
      </c>
      <c r="C14" s="690">
        <v>0</v>
      </c>
      <c r="D14" s="690">
        <v>627</v>
      </c>
      <c r="E14" s="690">
        <v>195</v>
      </c>
      <c r="F14" s="690">
        <v>0</v>
      </c>
    </row>
    <row r="15" spans="1:6" ht="14.25" customHeight="1">
      <c r="A15" s="1225"/>
      <c r="B15" s="689" t="s">
        <v>53</v>
      </c>
      <c r="C15" s="690">
        <v>0</v>
      </c>
      <c r="D15" s="690">
        <v>534</v>
      </c>
      <c r="E15" s="690">
        <v>171</v>
      </c>
      <c r="F15" s="690">
        <v>78</v>
      </c>
    </row>
    <row r="16" spans="1:6" ht="14.25" customHeight="1">
      <c r="A16" s="1225"/>
      <c r="B16" s="689" t="s">
        <v>54</v>
      </c>
      <c r="C16" s="690">
        <v>0</v>
      </c>
      <c r="D16" s="690">
        <v>520</v>
      </c>
      <c r="E16" s="690">
        <v>190</v>
      </c>
      <c r="F16" s="690">
        <v>0</v>
      </c>
    </row>
    <row r="17" spans="1:6" ht="14.25" customHeight="1">
      <c r="A17" s="1225"/>
      <c r="B17" s="689" t="s">
        <v>55</v>
      </c>
      <c r="C17" s="690">
        <v>539</v>
      </c>
      <c r="D17" s="690">
        <v>0</v>
      </c>
      <c r="E17" s="690">
        <v>191</v>
      </c>
      <c r="F17" s="690">
        <v>0</v>
      </c>
    </row>
    <row r="18" spans="1:6" ht="14.25" customHeight="1">
      <c r="A18" s="1226"/>
      <c r="B18" s="689" t="s">
        <v>56</v>
      </c>
      <c r="C18" s="691">
        <v>528</v>
      </c>
      <c r="D18" s="691">
        <v>0</v>
      </c>
      <c r="E18" s="691">
        <v>183</v>
      </c>
      <c r="F18" s="691">
        <v>0</v>
      </c>
    </row>
    <row r="19" spans="1:6" ht="14.25" customHeight="1">
      <c r="A19" s="1224">
        <v>2021</v>
      </c>
      <c r="B19" s="764" t="s">
        <v>47</v>
      </c>
      <c r="C19" s="688">
        <v>8681</v>
      </c>
      <c r="D19" s="688">
        <v>1208</v>
      </c>
      <c r="E19" s="688">
        <v>240</v>
      </c>
      <c r="F19" s="688">
        <v>0</v>
      </c>
    </row>
    <row r="20" spans="1:6" ht="14.25" customHeight="1">
      <c r="A20" s="1225"/>
      <c r="B20" s="765" t="s">
        <v>48</v>
      </c>
      <c r="C20" s="690"/>
      <c r="D20" s="690"/>
      <c r="E20" s="690"/>
      <c r="F20" s="690"/>
    </row>
    <row r="21" spans="1:6" ht="14.25" customHeight="1">
      <c r="A21" s="1225"/>
      <c r="B21" s="765" t="s">
        <v>49</v>
      </c>
      <c r="C21" s="690"/>
      <c r="D21" s="690"/>
      <c r="E21" s="690"/>
      <c r="F21" s="690"/>
    </row>
    <row r="22" spans="1:6" ht="14.25" customHeight="1">
      <c r="A22" s="1225"/>
      <c r="B22" s="765" t="s">
        <v>57</v>
      </c>
      <c r="C22" s="690"/>
      <c r="D22" s="690"/>
      <c r="E22" s="690"/>
      <c r="F22" s="690"/>
    </row>
    <row r="23" spans="1:6" ht="14.25" customHeight="1">
      <c r="A23" s="1225"/>
      <c r="B23" s="765" t="s">
        <v>58</v>
      </c>
      <c r="C23" s="690"/>
      <c r="D23" s="690"/>
      <c r="E23" s="690"/>
      <c r="F23" s="690"/>
    </row>
    <row r="24" spans="1:6" ht="14.25" customHeight="1">
      <c r="A24" s="1225"/>
      <c r="B24" s="765" t="s">
        <v>50</v>
      </c>
      <c r="C24" s="690"/>
      <c r="D24" s="690"/>
      <c r="E24" s="690"/>
      <c r="F24" s="690"/>
    </row>
    <row r="25" spans="1:6" ht="14.25" customHeight="1">
      <c r="A25" s="1225"/>
      <c r="B25" s="765" t="s">
        <v>51</v>
      </c>
      <c r="C25" s="690"/>
      <c r="D25" s="690"/>
      <c r="E25" s="690"/>
      <c r="F25" s="690"/>
    </row>
    <row r="26" spans="1:6" ht="14.25" customHeight="1">
      <c r="A26" s="1225"/>
      <c r="B26" s="765" t="s">
        <v>52</v>
      </c>
      <c r="C26" s="690"/>
      <c r="D26" s="690"/>
      <c r="E26" s="690"/>
      <c r="F26" s="690"/>
    </row>
    <row r="27" spans="1:6" ht="14.25" customHeight="1">
      <c r="A27" s="1225"/>
      <c r="B27" s="765" t="s">
        <v>53</v>
      </c>
      <c r="C27" s="690"/>
      <c r="D27" s="690"/>
      <c r="E27" s="690"/>
      <c r="F27" s="690"/>
    </row>
    <row r="28" spans="1:6" ht="14.25" customHeight="1">
      <c r="A28" s="1225"/>
      <c r="B28" s="765" t="s">
        <v>54</v>
      </c>
      <c r="C28" s="690"/>
      <c r="D28" s="690"/>
      <c r="E28" s="690"/>
      <c r="F28" s="690"/>
    </row>
    <row r="29" spans="1:6" ht="14.25" customHeight="1">
      <c r="A29" s="1225"/>
      <c r="B29" s="765" t="s">
        <v>55</v>
      </c>
      <c r="C29" s="690"/>
      <c r="D29" s="690"/>
      <c r="E29" s="690"/>
      <c r="F29" s="690"/>
    </row>
    <row r="30" spans="1:6" ht="14.25" customHeight="1">
      <c r="A30" s="1226"/>
      <c r="B30" s="766" t="s">
        <v>56</v>
      </c>
      <c r="C30" s="691"/>
      <c r="D30" s="691"/>
      <c r="E30" s="691"/>
      <c r="F30" s="691"/>
    </row>
    <row r="31" spans="1:6" ht="14.25" customHeight="1">
      <c r="A31" s="685" t="s">
        <v>500</v>
      </c>
      <c r="B31" s="696"/>
      <c r="C31" s="586"/>
      <c r="D31" s="586"/>
      <c r="E31" s="586"/>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pageSetUpPr fitToPage="1"/>
  </sheetPr>
  <dimension ref="B1:F10"/>
  <sheetViews>
    <sheetView zoomScaleNormal="100" workbookViewId="0">
      <selection activeCell="D11" sqref="D11"/>
    </sheetView>
  </sheetViews>
  <sheetFormatPr baseColWidth="10" defaultRowHeight="18"/>
  <cols>
    <col min="1" max="1" width="3.7265625" customWidth="1"/>
    <col min="2" max="2" width="22.26953125" style="145" customWidth="1"/>
    <col min="3" max="5" width="11.90625" customWidth="1"/>
  </cols>
  <sheetData>
    <row r="1" spans="2:6">
      <c r="B1" s="1104" t="s">
        <v>597</v>
      </c>
      <c r="C1" s="1104"/>
      <c r="D1" s="1104"/>
      <c r="E1" s="1104"/>
    </row>
    <row r="2" spans="2:6">
      <c r="B2" s="923"/>
      <c r="C2" s="923"/>
      <c r="D2" s="923"/>
      <c r="E2" s="923"/>
    </row>
    <row r="3" spans="2:6">
      <c r="B3" s="1104" t="s">
        <v>681</v>
      </c>
      <c r="C3" s="1104"/>
      <c r="D3" s="1104"/>
      <c r="E3" s="1104"/>
    </row>
    <row r="4" spans="2:6">
      <c r="B4" s="1239" t="s">
        <v>179</v>
      </c>
      <c r="C4" s="1239"/>
      <c r="D4" s="1239"/>
      <c r="E4" s="1239"/>
    </row>
    <row r="5" spans="2:6">
      <c r="B5" s="1244"/>
      <c r="C5" s="1246" t="s">
        <v>106</v>
      </c>
      <c r="D5" s="1247"/>
      <c r="E5" s="1248"/>
    </row>
    <row r="6" spans="2:6" ht="38.25" customHeight="1">
      <c r="B6" s="1245"/>
      <c r="C6" s="820" t="s">
        <v>579</v>
      </c>
      <c r="D6" s="821" t="s">
        <v>581</v>
      </c>
      <c r="E6" s="820" t="s">
        <v>580</v>
      </c>
    </row>
    <row r="7" spans="2:6" ht="44.25" customHeight="1">
      <c r="B7" s="900" t="s">
        <v>731</v>
      </c>
      <c r="C7" s="804">
        <v>-1.0999999999999999E-2</v>
      </c>
      <c r="D7" s="804">
        <v>-5.0000000000000001E-3</v>
      </c>
      <c r="E7" s="823">
        <v>8.0000000000000002E-3</v>
      </c>
      <c r="F7" s="270"/>
    </row>
    <row r="8" spans="2:6">
      <c r="B8" s="1241" t="s">
        <v>180</v>
      </c>
      <c r="C8" s="1242"/>
      <c r="D8" s="1242"/>
      <c r="E8" s="1243"/>
    </row>
    <row r="9" spans="2:6" ht="43.5" customHeight="1">
      <c r="B9" s="1240" t="s">
        <v>732</v>
      </c>
      <c r="C9" s="1240"/>
      <c r="D9" s="1240"/>
      <c r="E9" s="1240"/>
    </row>
    <row r="10" spans="2:6">
      <c r="C10" s="270"/>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workbookViewId="0">
      <selection activeCell="G15" sqref="G15"/>
    </sheetView>
  </sheetViews>
  <sheetFormatPr baseColWidth="10" defaultColWidth="11.08984375" defaultRowHeight="15" customHeight="1"/>
  <cols>
    <col min="1" max="1" width="5.26953125" style="86" customWidth="1"/>
    <col min="2" max="5" width="10.26953125" style="86" customWidth="1"/>
    <col min="6" max="6" width="9.26953125" style="86" customWidth="1"/>
    <col min="7" max="7" width="5.36328125" style="86" customWidth="1"/>
    <col min="8" max="8" width="3.36328125" style="86" customWidth="1"/>
    <col min="9" max="16384" width="11.08984375" style="86"/>
  </cols>
  <sheetData>
    <row r="1" spans="1:8" ht="4.5" customHeight="1">
      <c r="A1" s="1090"/>
      <c r="B1" s="1090"/>
      <c r="C1" s="1090"/>
      <c r="D1" s="1090"/>
      <c r="E1" s="1090"/>
      <c r="F1" s="1090"/>
      <c r="G1" s="1090"/>
    </row>
    <row r="2" spans="1:8" s="76" customFormat="1" ht="15" customHeight="1">
      <c r="A2" s="1090" t="s">
        <v>399</v>
      </c>
      <c r="B2" s="1090"/>
      <c r="C2" s="1090"/>
      <c r="D2" s="1090"/>
      <c r="E2" s="1090"/>
      <c r="F2" s="1090"/>
      <c r="G2" s="1090"/>
    </row>
    <row r="3" spans="1:8" s="76" customFormat="1" ht="15" customHeight="1">
      <c r="A3" s="1090" t="s">
        <v>357</v>
      </c>
      <c r="B3" s="1090"/>
      <c r="C3" s="1090"/>
      <c r="D3" s="1090"/>
      <c r="E3" s="1090"/>
      <c r="F3" s="1090"/>
      <c r="G3" s="1090"/>
    </row>
    <row r="4" spans="1:8" s="76" customFormat="1" ht="7.5" customHeight="1">
      <c r="A4" s="78"/>
      <c r="B4" s="78"/>
      <c r="C4" s="78"/>
      <c r="D4" s="78"/>
      <c r="E4" s="78"/>
      <c r="F4" s="78"/>
      <c r="G4" s="78"/>
    </row>
    <row r="5" spans="1:8" s="76" customFormat="1" ht="15" customHeight="1">
      <c r="A5" s="79" t="s">
        <v>29</v>
      </c>
      <c r="B5" s="80" t="s">
        <v>18</v>
      </c>
      <c r="C5" s="80"/>
      <c r="D5" s="80"/>
      <c r="E5" s="80"/>
      <c r="F5" s="80"/>
      <c r="G5" s="81" t="s">
        <v>19</v>
      </c>
      <c r="H5" s="82"/>
    </row>
    <row r="6" spans="1:8" s="76" customFormat="1" ht="15.75" customHeight="1">
      <c r="A6" s="84" t="s">
        <v>411</v>
      </c>
      <c r="B6" s="1092" t="s">
        <v>530</v>
      </c>
      <c r="C6" s="1093"/>
      <c r="D6" s="1093"/>
      <c r="E6" s="1093"/>
      <c r="F6" s="1093"/>
      <c r="G6" s="722">
        <v>4</v>
      </c>
    </row>
    <row r="7" spans="1:8" s="76" customFormat="1" ht="15.75" customHeight="1">
      <c r="A7" s="84" t="s">
        <v>417</v>
      </c>
      <c r="B7" s="1086" t="s">
        <v>84</v>
      </c>
      <c r="C7" s="1086"/>
      <c r="D7" s="1086"/>
      <c r="E7" s="1086"/>
      <c r="F7" s="1086"/>
      <c r="G7" s="722">
        <v>5</v>
      </c>
    </row>
    <row r="8" spans="1:8" s="76" customFormat="1" ht="15.75" customHeight="1">
      <c r="A8" s="84" t="s">
        <v>418</v>
      </c>
      <c r="B8" s="1091" t="s">
        <v>124</v>
      </c>
      <c r="C8" s="1091"/>
      <c r="D8" s="1091"/>
      <c r="E8" s="1091"/>
      <c r="F8" s="1091"/>
      <c r="G8" s="722">
        <v>6</v>
      </c>
    </row>
    <row r="9" spans="1:8" s="76" customFormat="1" ht="15.75" customHeight="1">
      <c r="A9" s="84" t="s">
        <v>419</v>
      </c>
      <c r="B9" s="1086" t="s">
        <v>85</v>
      </c>
      <c r="C9" s="1086"/>
      <c r="D9" s="1086"/>
      <c r="E9" s="1086"/>
      <c r="F9" s="1086"/>
      <c r="G9" s="722">
        <v>7</v>
      </c>
    </row>
    <row r="10" spans="1:8" s="76" customFormat="1" ht="30" customHeight="1">
      <c r="A10" s="84" t="s">
        <v>412</v>
      </c>
      <c r="B10" s="1086" t="s">
        <v>105</v>
      </c>
      <c r="C10" s="1086"/>
      <c r="D10" s="1086"/>
      <c r="E10" s="1086"/>
      <c r="F10" s="1086"/>
      <c r="G10" s="722">
        <v>8</v>
      </c>
    </row>
    <row r="11" spans="1:8" s="76" customFormat="1" ht="30" customHeight="1">
      <c r="A11" s="84" t="s">
        <v>413</v>
      </c>
      <c r="B11" s="1091" t="s">
        <v>430</v>
      </c>
      <c r="C11" s="1091"/>
      <c r="D11" s="1091"/>
      <c r="E11" s="1091"/>
      <c r="F11" s="1091"/>
      <c r="G11" s="722">
        <v>9</v>
      </c>
    </row>
    <row r="12" spans="1:8" s="76" customFormat="1" ht="15.75" customHeight="1">
      <c r="A12" s="84" t="s">
        <v>409</v>
      </c>
      <c r="B12" s="1086" t="s">
        <v>102</v>
      </c>
      <c r="C12" s="1086"/>
      <c r="D12" s="1086"/>
      <c r="E12" s="1086"/>
      <c r="F12" s="1086"/>
      <c r="G12" s="722">
        <v>10</v>
      </c>
    </row>
    <row r="13" spans="1:8" s="76" customFormat="1" ht="15.75" customHeight="1">
      <c r="A13" s="84" t="s">
        <v>410</v>
      </c>
      <c r="B13" s="1087" t="s">
        <v>467</v>
      </c>
      <c r="C13" s="1080"/>
      <c r="D13" s="1080"/>
      <c r="E13" s="1080"/>
      <c r="F13" s="1080"/>
      <c r="G13" s="722">
        <v>11</v>
      </c>
      <c r="H13" s="181"/>
    </row>
    <row r="14" spans="1:8" s="76" customFormat="1" ht="15.75" customHeight="1">
      <c r="A14" s="509" t="s">
        <v>560</v>
      </c>
      <c r="B14" s="1080" t="s">
        <v>376</v>
      </c>
      <c r="C14" s="1080"/>
      <c r="D14" s="1080"/>
      <c r="E14" s="1080"/>
      <c r="F14" s="1080"/>
      <c r="G14" s="722">
        <v>12</v>
      </c>
      <c r="H14" s="181"/>
    </row>
    <row r="15" spans="1:8" s="76" customFormat="1" ht="15.75" customHeight="1">
      <c r="A15" s="509" t="s">
        <v>561</v>
      </c>
      <c r="B15" s="1080" t="s">
        <v>377</v>
      </c>
      <c r="C15" s="1080"/>
      <c r="D15" s="1080"/>
      <c r="E15" s="1080"/>
      <c r="F15" s="1080"/>
      <c r="G15" s="722">
        <v>13</v>
      </c>
      <c r="H15" s="181"/>
    </row>
    <row r="16" spans="1:8" s="76" customFormat="1" ht="15.75" customHeight="1">
      <c r="A16" s="509" t="s">
        <v>562</v>
      </c>
      <c r="B16" s="1080" t="s">
        <v>434</v>
      </c>
      <c r="C16" s="1080"/>
      <c r="D16" s="1080"/>
      <c r="E16" s="1080"/>
      <c r="F16" s="1080"/>
      <c r="G16" s="722">
        <v>14</v>
      </c>
      <c r="H16" s="181"/>
    </row>
    <row r="17" spans="1:10" s="76" customFormat="1" ht="15.75" customHeight="1">
      <c r="A17" s="509" t="s">
        <v>563</v>
      </c>
      <c r="B17" s="1080" t="s">
        <v>378</v>
      </c>
      <c r="C17" s="1080"/>
      <c r="D17" s="1080"/>
      <c r="E17" s="1080"/>
      <c r="F17" s="1080"/>
      <c r="G17" s="722">
        <v>15</v>
      </c>
      <c r="H17" s="181"/>
    </row>
    <row r="18" spans="1:10" s="76" customFormat="1" ht="15.75" customHeight="1">
      <c r="A18" s="509" t="s">
        <v>564</v>
      </c>
      <c r="B18" s="1080" t="s">
        <v>381</v>
      </c>
      <c r="C18" s="1080"/>
      <c r="D18" s="1080"/>
      <c r="E18" s="1080"/>
      <c r="F18" s="1080"/>
      <c r="G18" s="722">
        <v>16</v>
      </c>
      <c r="H18" s="181"/>
    </row>
    <row r="19" spans="1:10" s="76" customFormat="1" ht="30" customHeight="1">
      <c r="A19" s="509" t="s">
        <v>565</v>
      </c>
      <c r="B19" s="1080" t="s">
        <v>382</v>
      </c>
      <c r="C19" s="1080"/>
      <c r="D19" s="1080"/>
      <c r="E19" s="1080"/>
      <c r="F19" s="1080"/>
      <c r="G19" s="722">
        <v>17</v>
      </c>
      <c r="H19" s="181"/>
    </row>
    <row r="20" spans="1:10" s="76" customFormat="1" ht="15.75" customHeight="1">
      <c r="A20" s="509" t="s">
        <v>566</v>
      </c>
      <c r="B20" s="1080" t="s">
        <v>350</v>
      </c>
      <c r="C20" s="1080"/>
      <c r="D20" s="1080"/>
      <c r="E20" s="1080"/>
      <c r="F20" s="1080"/>
      <c r="G20" s="722">
        <v>18</v>
      </c>
      <c r="H20" s="181"/>
    </row>
    <row r="21" spans="1:10" s="76" customFormat="1" ht="15.75" customHeight="1">
      <c r="A21" s="84" t="s">
        <v>414</v>
      </c>
      <c r="B21" s="1086" t="s">
        <v>103</v>
      </c>
      <c r="C21" s="1086"/>
      <c r="D21" s="1086"/>
      <c r="E21" s="1086"/>
      <c r="F21" s="1086"/>
      <c r="G21" s="722">
        <v>19</v>
      </c>
    </row>
    <row r="22" spans="1:10" s="76" customFormat="1" ht="15.75" customHeight="1">
      <c r="A22" s="84" t="s">
        <v>415</v>
      </c>
      <c r="B22" s="1086" t="s">
        <v>15</v>
      </c>
      <c r="C22" s="1086"/>
      <c r="D22" s="1086"/>
      <c r="E22" s="1086"/>
      <c r="F22" s="1086"/>
      <c r="G22" s="722">
        <v>20</v>
      </c>
    </row>
    <row r="23" spans="1:10" s="76" customFormat="1" ht="15.75" customHeight="1">
      <c r="A23" s="84" t="s">
        <v>416</v>
      </c>
      <c r="B23" s="1086" t="s">
        <v>131</v>
      </c>
      <c r="C23" s="1086"/>
      <c r="D23" s="1086"/>
      <c r="E23" s="1086"/>
      <c r="F23" s="1086"/>
      <c r="G23" s="722">
        <v>22</v>
      </c>
    </row>
    <row r="24" spans="1:10" s="76" customFormat="1" ht="15.75" customHeight="1">
      <c r="A24" s="509" t="s">
        <v>497</v>
      </c>
      <c r="B24" s="1086" t="s">
        <v>121</v>
      </c>
      <c r="C24" s="1086"/>
      <c r="D24" s="1086"/>
      <c r="E24" s="1086"/>
      <c r="F24" s="1086"/>
      <c r="G24" s="722">
        <v>23</v>
      </c>
    </row>
    <row r="25" spans="1:10" s="682" customFormat="1" ht="15.75" customHeight="1">
      <c r="A25" s="509" t="s">
        <v>567</v>
      </c>
      <c r="B25" s="1082" t="s">
        <v>499</v>
      </c>
      <c r="C25" s="1082"/>
      <c r="D25" s="1082"/>
      <c r="E25" s="1082"/>
      <c r="F25" s="1082"/>
      <c r="G25" s="723">
        <v>24</v>
      </c>
    </row>
    <row r="26" spans="1:10" s="682" customFormat="1" ht="15.75" customHeight="1">
      <c r="A26" s="509" t="s">
        <v>568</v>
      </c>
      <c r="B26" s="1082" t="s">
        <v>501</v>
      </c>
      <c r="C26" s="1082"/>
      <c r="D26" s="1082"/>
      <c r="E26" s="1082"/>
      <c r="F26" s="1082"/>
      <c r="G26" s="723">
        <v>25</v>
      </c>
    </row>
    <row r="27" spans="1:10" s="682" customFormat="1" ht="15.75" customHeight="1">
      <c r="A27" s="509" t="s">
        <v>569</v>
      </c>
      <c r="B27" s="1082" t="s">
        <v>559</v>
      </c>
      <c r="C27" s="1082"/>
      <c r="D27" s="1082"/>
      <c r="E27" s="1082"/>
      <c r="F27" s="1082"/>
      <c r="G27" s="723" t="s">
        <v>576</v>
      </c>
    </row>
    <row r="28" spans="1:10" s="812" customFormat="1" ht="15.75" customHeight="1">
      <c r="A28" s="509" t="s">
        <v>570</v>
      </c>
      <c r="B28" s="1082" t="s">
        <v>571</v>
      </c>
      <c r="C28" s="1082"/>
      <c r="D28" s="1082"/>
      <c r="E28" s="1082"/>
      <c r="F28" s="1082"/>
      <c r="G28" s="723" t="s">
        <v>577</v>
      </c>
    </row>
    <row r="29" spans="1:10" s="812" customFormat="1" ht="15.75" customHeight="1">
      <c r="A29" s="509" t="s">
        <v>573</v>
      </c>
      <c r="B29" s="1082" t="s">
        <v>611</v>
      </c>
      <c r="C29" s="1082"/>
      <c r="D29" s="1082"/>
      <c r="E29" s="1082"/>
      <c r="F29" s="1082"/>
      <c r="G29" s="723" t="s">
        <v>578</v>
      </c>
    </row>
    <row r="30" spans="1:10" s="76" customFormat="1" ht="15.75" customHeight="1">
      <c r="A30" s="509" t="s">
        <v>574</v>
      </c>
      <c r="B30" s="83" t="s">
        <v>394</v>
      </c>
      <c r="C30" s="83"/>
      <c r="D30" s="83"/>
      <c r="E30" s="83"/>
      <c r="F30" s="83"/>
      <c r="G30" s="819">
        <v>27</v>
      </c>
      <c r="J30" s="219"/>
    </row>
    <row r="31" spans="1:10" s="76" customFormat="1" ht="15.75" customHeight="1">
      <c r="A31" s="79" t="s">
        <v>28</v>
      </c>
      <c r="B31" s="80" t="s">
        <v>18</v>
      </c>
      <c r="C31" s="80"/>
      <c r="D31" s="80"/>
      <c r="E31" s="80"/>
      <c r="F31" s="80"/>
      <c r="G31" s="499" t="s">
        <v>19</v>
      </c>
      <c r="J31" s="219"/>
    </row>
    <row r="32" spans="1:10" s="76" customFormat="1" ht="7.5" customHeight="1">
      <c r="A32" s="85"/>
      <c r="B32" s="83"/>
      <c r="C32" s="83"/>
      <c r="D32" s="83"/>
      <c r="E32" s="83"/>
      <c r="F32" s="83"/>
      <c r="G32" s="135"/>
    </row>
    <row r="33" spans="1:8" s="76" customFormat="1" ht="16.5" customHeight="1">
      <c r="A33" s="84" t="s">
        <v>411</v>
      </c>
      <c r="B33" s="1084" t="s">
        <v>148</v>
      </c>
      <c r="C33" s="1084"/>
      <c r="D33" s="1084"/>
      <c r="E33" s="1084"/>
      <c r="F33" s="1084"/>
      <c r="G33" s="135">
        <v>4</v>
      </c>
    </row>
    <row r="34" spans="1:8" s="76" customFormat="1" ht="16.5" customHeight="1">
      <c r="A34" s="84" t="s">
        <v>417</v>
      </c>
      <c r="B34" s="1081" t="s">
        <v>149</v>
      </c>
      <c r="C34" s="1081"/>
      <c r="D34" s="1081"/>
      <c r="E34" s="1081"/>
      <c r="F34" s="1081"/>
      <c r="G34" s="135">
        <v>5</v>
      </c>
    </row>
    <row r="35" spans="1:8" s="76" customFormat="1" ht="30" customHeight="1">
      <c r="A35" s="222" t="s">
        <v>418</v>
      </c>
      <c r="B35" s="1089" t="s">
        <v>150</v>
      </c>
      <c r="C35" s="1089"/>
      <c r="D35" s="1089"/>
      <c r="E35" s="1089"/>
      <c r="F35" s="1089"/>
      <c r="G35" s="135">
        <v>7</v>
      </c>
    </row>
    <row r="36" spans="1:8" s="76" customFormat="1" ht="15.75" customHeight="1">
      <c r="A36" s="222" t="s">
        <v>419</v>
      </c>
      <c r="B36" s="1087" t="s">
        <v>467</v>
      </c>
      <c r="C36" s="1080"/>
      <c r="D36" s="1080"/>
      <c r="E36" s="1080"/>
      <c r="F36" s="1080"/>
      <c r="G36" s="135">
        <v>11</v>
      </c>
      <c r="H36" s="181"/>
    </row>
    <row r="37" spans="1:8" s="76" customFormat="1" ht="15.75" customHeight="1">
      <c r="A37" s="222" t="s">
        <v>412</v>
      </c>
      <c r="B37" s="1085" t="s">
        <v>156</v>
      </c>
      <c r="C37" s="1085"/>
      <c r="D37" s="1085"/>
      <c r="E37" s="1085"/>
      <c r="F37" s="1085"/>
      <c r="G37" s="135">
        <v>12</v>
      </c>
      <c r="H37" s="181"/>
    </row>
    <row r="38" spans="1:8" s="76" customFormat="1" ht="15.75" customHeight="1">
      <c r="A38" s="222" t="s">
        <v>413</v>
      </c>
      <c r="B38" s="1085" t="s">
        <v>155</v>
      </c>
      <c r="C38" s="1085"/>
      <c r="D38" s="1085"/>
      <c r="E38" s="1085"/>
      <c r="F38" s="1085"/>
      <c r="G38" s="135">
        <v>13</v>
      </c>
    </row>
    <row r="39" spans="1:8" s="76" customFormat="1" ht="15.75" customHeight="1">
      <c r="A39" s="222" t="s">
        <v>409</v>
      </c>
      <c r="B39" s="1085" t="s">
        <v>154</v>
      </c>
      <c r="C39" s="1085"/>
      <c r="D39" s="1085"/>
      <c r="E39" s="1085"/>
      <c r="F39" s="1085"/>
      <c r="G39" s="135">
        <v>14</v>
      </c>
    </row>
    <row r="40" spans="1:8" s="76" customFormat="1" ht="15.75" customHeight="1">
      <c r="A40" s="222" t="s">
        <v>410</v>
      </c>
      <c r="B40" s="1086" t="s">
        <v>153</v>
      </c>
      <c r="C40" s="1086"/>
      <c r="D40" s="1086"/>
      <c r="E40" s="1086"/>
      <c r="F40" s="1086"/>
      <c r="G40" s="135">
        <v>16</v>
      </c>
    </row>
    <row r="41" spans="1:8" s="76" customFormat="1" ht="15.75" customHeight="1">
      <c r="A41" s="222" t="s">
        <v>372</v>
      </c>
      <c r="B41" s="1086" t="s">
        <v>152</v>
      </c>
      <c r="C41" s="1086"/>
      <c r="D41" s="1086"/>
      <c r="E41" s="1086"/>
      <c r="F41" s="1086"/>
      <c r="G41" s="135">
        <v>18</v>
      </c>
    </row>
    <row r="42" spans="1:8" s="76" customFormat="1" ht="15.75" customHeight="1">
      <c r="A42" s="222" t="s">
        <v>373</v>
      </c>
      <c r="B42" s="1089" t="s">
        <v>151</v>
      </c>
      <c r="C42" s="1089"/>
      <c r="D42" s="1089"/>
      <c r="E42" s="1089"/>
      <c r="F42" s="1089"/>
      <c r="G42" s="135">
        <v>20</v>
      </c>
    </row>
    <row r="43" spans="1:8" s="76" customFormat="1" ht="15.75" customHeight="1">
      <c r="A43" s="222" t="s">
        <v>374</v>
      </c>
      <c r="B43" s="1088" t="s">
        <v>157</v>
      </c>
      <c r="C43" s="1088"/>
      <c r="D43" s="1088"/>
      <c r="E43" s="1088"/>
      <c r="F43" s="1088"/>
      <c r="G43" s="135">
        <v>21</v>
      </c>
    </row>
    <row r="44" spans="1:8" s="76" customFormat="1" ht="12" customHeight="1">
      <c r="G44" s="727"/>
    </row>
    <row r="45" spans="1:8" ht="15" customHeight="1">
      <c r="G45" s="70"/>
    </row>
    <row r="46" spans="1:8" ht="15" customHeight="1">
      <c r="A46" s="84"/>
      <c r="B46" s="1083"/>
      <c r="C46" s="1083"/>
      <c r="D46" s="1083"/>
      <c r="E46" s="1083"/>
      <c r="F46" s="1083"/>
      <c r="G46" s="70"/>
    </row>
    <row r="59" spans="1:8" ht="30" customHeight="1">
      <c r="A59" s="221"/>
      <c r="H59" s="221"/>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B7" zoomScaleNormal="100" workbookViewId="0">
      <selection activeCell="G16" sqref="G16"/>
    </sheetView>
  </sheetViews>
  <sheetFormatPr baseColWidth="10" defaultColWidth="11.08984375" defaultRowHeight="15" customHeight="1"/>
  <cols>
    <col min="1" max="1" width="6" style="495" customWidth="1"/>
    <col min="2" max="6" width="9.81640625" style="495" customWidth="1"/>
    <col min="7" max="7" width="6.26953125" style="510" customWidth="1"/>
    <col min="8" max="16384" width="11.08984375" style="495"/>
  </cols>
  <sheetData>
    <row r="1" spans="1:7" ht="15" customHeight="1">
      <c r="A1" s="1090"/>
      <c r="B1" s="1090"/>
      <c r="C1" s="1090"/>
      <c r="D1" s="1090"/>
      <c r="E1" s="1090"/>
      <c r="F1" s="1090"/>
      <c r="G1" s="1090"/>
    </row>
    <row r="2" spans="1:7" s="496" customFormat="1" ht="15" customHeight="1">
      <c r="A2" s="1090" t="s">
        <v>400</v>
      </c>
      <c r="B2" s="1090"/>
      <c r="C2" s="1090"/>
      <c r="D2" s="1090"/>
      <c r="E2" s="1090"/>
      <c r="F2" s="1090"/>
      <c r="G2" s="1090"/>
    </row>
    <row r="3" spans="1:7" s="496" customFormat="1" ht="15" customHeight="1">
      <c r="A3" s="1090" t="s">
        <v>358</v>
      </c>
      <c r="B3" s="1090"/>
      <c r="C3" s="1090"/>
      <c r="D3" s="1090"/>
      <c r="E3" s="1090"/>
      <c r="F3" s="1090"/>
      <c r="G3" s="1090"/>
    </row>
    <row r="4" spans="1:7" s="496" customFormat="1" ht="15" customHeight="1">
      <c r="A4" s="1090"/>
      <c r="B4" s="1090"/>
      <c r="C4" s="1090"/>
      <c r="D4" s="1090"/>
      <c r="E4" s="1090"/>
      <c r="F4" s="1090"/>
      <c r="G4" s="1090"/>
    </row>
    <row r="5" spans="1:7" s="496" customFormat="1" ht="15" customHeight="1">
      <c r="A5" s="497" t="s">
        <v>29</v>
      </c>
      <c r="B5" s="498" t="s">
        <v>18</v>
      </c>
      <c r="C5" s="498"/>
      <c r="D5" s="498"/>
      <c r="E5" s="498"/>
      <c r="F5" s="498"/>
      <c r="G5" s="499" t="s">
        <v>19</v>
      </c>
    </row>
    <row r="6" spans="1:7" s="496" customFormat="1" ht="15" customHeight="1">
      <c r="A6" s="500"/>
      <c r="B6" s="500"/>
      <c r="C6" s="500"/>
      <c r="D6" s="500"/>
      <c r="E6" s="500"/>
      <c r="F6" s="500"/>
      <c r="G6" s="135"/>
    </row>
    <row r="7" spans="1:7" s="496" customFormat="1" ht="15.75" customHeight="1">
      <c r="A7" s="512" t="s">
        <v>411</v>
      </c>
      <c r="B7" s="1251" t="s">
        <v>528</v>
      </c>
      <c r="C7" s="1250"/>
      <c r="D7" s="1250"/>
      <c r="E7" s="1250"/>
      <c r="F7" s="1250"/>
      <c r="G7" s="725">
        <v>28</v>
      </c>
    </row>
    <row r="8" spans="1:7" s="496" customFormat="1" ht="15.75" customHeight="1">
      <c r="A8" s="512" t="s">
        <v>417</v>
      </c>
      <c r="B8" s="1249" t="s">
        <v>183</v>
      </c>
      <c r="C8" s="1249"/>
      <c r="D8" s="1249"/>
      <c r="E8" s="1249"/>
      <c r="F8" s="1249"/>
      <c r="G8" s="725">
        <v>29</v>
      </c>
    </row>
    <row r="9" spans="1:7" s="496" customFormat="1" ht="15.75" customHeight="1">
      <c r="A9" s="512" t="s">
        <v>418</v>
      </c>
      <c r="B9" s="1249" t="s">
        <v>184</v>
      </c>
      <c r="C9" s="1249"/>
      <c r="D9" s="1249"/>
      <c r="E9" s="1249"/>
      <c r="F9" s="1249"/>
      <c r="G9" s="725">
        <v>30</v>
      </c>
    </row>
    <row r="10" spans="1:7" s="496" customFormat="1" ht="30" customHeight="1">
      <c r="A10" s="512" t="s">
        <v>419</v>
      </c>
      <c r="B10" s="1249" t="s">
        <v>185</v>
      </c>
      <c r="C10" s="1249"/>
      <c r="D10" s="1249"/>
      <c r="E10" s="1249"/>
      <c r="F10" s="1249"/>
      <c r="G10" s="725">
        <v>31</v>
      </c>
    </row>
    <row r="11" spans="1:7" s="496" customFormat="1" ht="30" customHeight="1">
      <c r="A11" s="512" t="s">
        <v>412</v>
      </c>
      <c r="B11" s="1249" t="s">
        <v>186</v>
      </c>
      <c r="C11" s="1249"/>
      <c r="D11" s="1249"/>
      <c r="E11" s="1249"/>
      <c r="F11" s="1249"/>
      <c r="G11" s="725">
        <v>32</v>
      </c>
    </row>
    <row r="12" spans="1:7" s="496" customFormat="1" ht="30" customHeight="1">
      <c r="A12" s="512" t="s">
        <v>413</v>
      </c>
      <c r="B12" s="1253" t="s">
        <v>187</v>
      </c>
      <c r="C12" s="1253"/>
      <c r="D12" s="1253"/>
      <c r="E12" s="1253"/>
      <c r="F12" s="1253"/>
      <c r="G12" s="725">
        <v>33</v>
      </c>
    </row>
    <row r="13" spans="1:7" s="496" customFormat="1" ht="15" customHeight="1">
      <c r="A13" s="512" t="s">
        <v>409</v>
      </c>
      <c r="B13" s="1249" t="s">
        <v>188</v>
      </c>
      <c r="C13" s="1249"/>
      <c r="D13" s="1249"/>
      <c r="E13" s="1249"/>
      <c r="F13" s="1249"/>
      <c r="G13" s="725">
        <v>34</v>
      </c>
    </row>
    <row r="14" spans="1:7" s="496" customFormat="1" ht="15" customHeight="1">
      <c r="A14" s="512" t="s">
        <v>410</v>
      </c>
      <c r="B14" s="1253" t="s">
        <v>469</v>
      </c>
      <c r="C14" s="1253"/>
      <c r="D14" s="1253"/>
      <c r="E14" s="1253"/>
      <c r="F14" s="1253"/>
      <c r="G14" s="725">
        <v>35</v>
      </c>
    </row>
    <row r="15" spans="1:7" s="496" customFormat="1" ht="15" customHeight="1">
      <c r="A15" s="512" t="s">
        <v>372</v>
      </c>
      <c r="B15" s="1255" t="s">
        <v>223</v>
      </c>
      <c r="C15" s="1255"/>
      <c r="D15" s="1255"/>
      <c r="E15" s="1255"/>
      <c r="F15" s="1255"/>
      <c r="G15" s="725">
        <v>36</v>
      </c>
    </row>
    <row r="16" spans="1:7" s="496" customFormat="1" ht="15" customHeight="1">
      <c r="A16" s="512" t="s">
        <v>373</v>
      </c>
      <c r="B16" s="1250" t="s">
        <v>389</v>
      </c>
      <c r="C16" s="1250"/>
      <c r="D16" s="1250"/>
      <c r="E16" s="1250"/>
      <c r="F16" s="1250"/>
      <c r="G16" s="725">
        <v>37</v>
      </c>
    </row>
    <row r="17" spans="1:7" s="496" customFormat="1" ht="15" customHeight="1">
      <c r="A17" s="512" t="s">
        <v>374</v>
      </c>
      <c r="B17" s="1255" t="s">
        <v>229</v>
      </c>
      <c r="C17" s="1255"/>
      <c r="D17" s="1255"/>
      <c r="E17" s="1255"/>
      <c r="F17" s="1255"/>
      <c r="G17" s="725">
        <v>38</v>
      </c>
    </row>
    <row r="18" spans="1:7" s="496" customFormat="1" ht="15" customHeight="1">
      <c r="A18" s="512" t="s">
        <v>375</v>
      </c>
      <c r="B18" s="1249" t="s">
        <v>390</v>
      </c>
      <c r="C18" s="1249"/>
      <c r="D18" s="1249"/>
      <c r="E18" s="1249"/>
      <c r="F18" s="1249"/>
      <c r="G18" s="725">
        <v>39</v>
      </c>
    </row>
    <row r="19" spans="1:7" s="496" customFormat="1" ht="15" customHeight="1">
      <c r="A19" s="512" t="s">
        <v>379</v>
      </c>
      <c r="B19" s="1249" t="s">
        <v>395</v>
      </c>
      <c r="C19" s="1249"/>
      <c r="D19" s="1249"/>
      <c r="E19" s="1249"/>
      <c r="F19" s="1249"/>
      <c r="G19" s="725">
        <v>40</v>
      </c>
    </row>
    <row r="20" spans="1:7" s="496" customFormat="1" ht="15" customHeight="1">
      <c r="A20" s="512" t="s">
        <v>380</v>
      </c>
      <c r="B20" s="1249" t="s">
        <v>103</v>
      </c>
      <c r="C20" s="1249"/>
      <c r="D20" s="1249"/>
      <c r="E20" s="1249"/>
      <c r="F20" s="1249"/>
      <c r="G20" s="725">
        <v>41</v>
      </c>
    </row>
    <row r="21" spans="1:7" s="496" customFormat="1" ht="15" customHeight="1">
      <c r="A21" s="512" t="s">
        <v>384</v>
      </c>
      <c r="B21" s="1249" t="s">
        <v>396</v>
      </c>
      <c r="C21" s="1249"/>
      <c r="D21" s="1249"/>
      <c r="E21" s="1249"/>
      <c r="F21" s="1249"/>
      <c r="G21" s="725">
        <v>42</v>
      </c>
    </row>
    <row r="22" spans="1:7" s="496" customFormat="1" ht="15" customHeight="1">
      <c r="A22" s="501"/>
      <c r="B22" s="501"/>
      <c r="C22" s="501"/>
      <c r="D22" s="501"/>
      <c r="E22" s="501"/>
      <c r="F22" s="501"/>
      <c r="G22" s="513"/>
    </row>
    <row r="23" spans="1:7" s="496" customFormat="1" ht="15" customHeight="1">
      <c r="A23" s="502" t="s">
        <v>189</v>
      </c>
      <c r="B23" s="502" t="s">
        <v>18</v>
      </c>
      <c r="C23" s="502"/>
      <c r="D23" s="502"/>
      <c r="E23" s="502"/>
      <c r="F23" s="502"/>
      <c r="G23" s="726" t="s">
        <v>19</v>
      </c>
    </row>
    <row r="24" spans="1:7" s="496" customFormat="1" ht="15" customHeight="1">
      <c r="A24" s="519"/>
      <c r="B24" s="501"/>
      <c r="C24" s="501"/>
      <c r="D24" s="501"/>
      <c r="E24" s="501"/>
      <c r="F24" s="501"/>
      <c r="G24" s="135"/>
    </row>
    <row r="25" spans="1:7" s="496" customFormat="1" ht="15.75" customHeight="1">
      <c r="A25" s="509" t="s">
        <v>411</v>
      </c>
      <c r="B25" s="1251" t="s">
        <v>529</v>
      </c>
      <c r="C25" s="1250"/>
      <c r="D25" s="1250"/>
      <c r="E25" s="1250"/>
      <c r="F25" s="1250"/>
      <c r="G25" s="725">
        <v>28</v>
      </c>
    </row>
    <row r="26" spans="1:7" s="496" customFormat="1" ht="15.75" customHeight="1">
      <c r="A26" s="509" t="s">
        <v>417</v>
      </c>
      <c r="B26" s="1249" t="s">
        <v>393</v>
      </c>
      <c r="C26" s="1249"/>
      <c r="D26" s="1249"/>
      <c r="E26" s="1249"/>
      <c r="F26" s="1249"/>
      <c r="G26" s="725">
        <v>29</v>
      </c>
    </row>
    <row r="27" spans="1:7" s="496" customFormat="1" ht="30" customHeight="1">
      <c r="A27" s="509" t="s">
        <v>418</v>
      </c>
      <c r="B27" s="1249" t="s">
        <v>190</v>
      </c>
      <c r="C27" s="1249"/>
      <c r="D27" s="1249"/>
      <c r="E27" s="1249"/>
      <c r="F27" s="1249"/>
      <c r="G27" s="725">
        <v>31</v>
      </c>
    </row>
    <row r="28" spans="1:7" s="496" customFormat="1" ht="15.75" customHeight="1">
      <c r="A28" s="520" t="s">
        <v>419</v>
      </c>
      <c r="B28" s="1253" t="s">
        <v>468</v>
      </c>
      <c r="C28" s="1253"/>
      <c r="D28" s="1253"/>
      <c r="E28" s="1253"/>
      <c r="F28" s="1253"/>
      <c r="G28" s="725">
        <v>35</v>
      </c>
    </row>
    <row r="29" spans="1:7" s="496" customFormat="1" ht="15.75" customHeight="1">
      <c r="A29" s="520" t="s">
        <v>412</v>
      </c>
      <c r="B29" s="1254" t="s">
        <v>397</v>
      </c>
      <c r="C29" s="1254"/>
      <c r="D29" s="1254"/>
      <c r="E29" s="1254"/>
      <c r="F29" s="1254"/>
      <c r="G29" s="725">
        <v>36</v>
      </c>
    </row>
    <row r="30" spans="1:7" s="496" customFormat="1" ht="15.75" customHeight="1">
      <c r="A30" s="520" t="s">
        <v>413</v>
      </c>
      <c r="B30" s="1255" t="s">
        <v>191</v>
      </c>
      <c r="C30" s="1255"/>
      <c r="D30" s="1255"/>
      <c r="E30" s="1255"/>
      <c r="F30" s="1255"/>
      <c r="G30" s="725">
        <v>37</v>
      </c>
    </row>
    <row r="31" spans="1:7" s="496" customFormat="1" ht="15.75" customHeight="1">
      <c r="A31" s="520" t="s">
        <v>409</v>
      </c>
      <c r="B31" s="1255" t="s">
        <v>229</v>
      </c>
      <c r="C31" s="1255"/>
      <c r="D31" s="1255"/>
      <c r="E31" s="1255"/>
      <c r="F31" s="1255"/>
      <c r="G31" s="725">
        <v>38</v>
      </c>
    </row>
    <row r="32" spans="1:7" s="496" customFormat="1" ht="15.75" customHeight="1">
      <c r="A32" s="520" t="s">
        <v>410</v>
      </c>
      <c r="B32" s="1086" t="s">
        <v>390</v>
      </c>
      <c r="C32" s="1086"/>
      <c r="D32" s="1086"/>
      <c r="E32" s="1086"/>
      <c r="F32" s="1086"/>
      <c r="G32" s="725">
        <v>39</v>
      </c>
    </row>
    <row r="33" spans="1:7" s="496" customFormat="1" ht="15.75" customHeight="1">
      <c r="A33" s="520" t="s">
        <v>372</v>
      </c>
      <c r="B33" s="1249" t="s">
        <v>398</v>
      </c>
      <c r="C33" s="1249"/>
      <c r="D33" s="1249"/>
      <c r="E33" s="1249"/>
      <c r="F33" s="1249"/>
      <c r="G33" s="725">
        <v>40</v>
      </c>
    </row>
    <row r="34" spans="1:7" s="496" customFormat="1" ht="30" customHeight="1">
      <c r="A34" s="520" t="s">
        <v>373</v>
      </c>
      <c r="B34" s="1249" t="s">
        <v>192</v>
      </c>
      <c r="C34" s="1249"/>
      <c r="D34" s="1249"/>
      <c r="E34" s="1249"/>
      <c r="F34" s="1249"/>
      <c r="G34" s="725">
        <v>42</v>
      </c>
    </row>
    <row r="35" spans="1:7" s="496" customFormat="1" ht="15.75" customHeight="1">
      <c r="A35" s="520" t="s">
        <v>374</v>
      </c>
      <c r="B35" s="1250" t="s">
        <v>193</v>
      </c>
      <c r="C35" s="1250"/>
      <c r="D35" s="1250"/>
      <c r="E35" s="1250"/>
      <c r="F35" s="1250"/>
      <c r="G35" s="725">
        <v>43</v>
      </c>
    </row>
    <row r="36" spans="1:7" s="496" customFormat="1" ht="15" customHeight="1">
      <c r="A36" s="504"/>
      <c r="G36" s="505"/>
    </row>
    <row r="37" spans="1:7" s="496" customFormat="1" ht="12" customHeight="1">
      <c r="A37" s="504"/>
      <c r="C37" s="506"/>
      <c r="D37" s="506"/>
      <c r="E37" s="506"/>
      <c r="F37" s="506"/>
      <c r="G37" s="507"/>
    </row>
    <row r="38" spans="1:7" s="496" customFormat="1" ht="12" customHeight="1">
      <c r="A38" s="504"/>
      <c r="C38" s="506"/>
      <c r="D38" s="506"/>
      <c r="E38" s="506"/>
      <c r="F38" s="506"/>
      <c r="G38" s="507"/>
    </row>
    <row r="39" spans="1:7" s="496" customFormat="1" ht="12" customHeight="1">
      <c r="A39" s="508"/>
      <c r="C39" s="506"/>
      <c r="D39" s="506"/>
      <c r="E39" s="506"/>
      <c r="F39" s="506"/>
      <c r="G39" s="507"/>
    </row>
    <row r="40" spans="1:7" s="496" customFormat="1" ht="12" customHeight="1">
      <c r="B40" s="236"/>
      <c r="C40" s="506"/>
      <c r="D40" s="506"/>
      <c r="E40" s="506"/>
      <c r="F40" s="506"/>
      <c r="G40" s="507"/>
    </row>
    <row r="42" spans="1:7" ht="15" customHeight="1">
      <c r="A42" s="509"/>
      <c r="B42" s="1252"/>
      <c r="C42" s="1252"/>
      <c r="D42" s="1252"/>
      <c r="E42" s="1252"/>
      <c r="F42" s="1252"/>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pageSetUpPr fitToPage="1"/>
  </sheetPr>
  <dimension ref="C1:S41"/>
  <sheetViews>
    <sheetView topLeftCell="C1" zoomScaleNormal="100" workbookViewId="0">
      <selection activeCell="H16" sqref="H16"/>
    </sheetView>
  </sheetViews>
  <sheetFormatPr baseColWidth="10" defaultColWidth="10.90625" defaultRowHeight="12"/>
  <cols>
    <col min="1" max="2" width="0.81640625" style="1" customWidth="1"/>
    <col min="3" max="8" width="10.08984375" style="1" customWidth="1"/>
    <col min="9" max="9" width="1.54296875" style="34" customWidth="1"/>
    <col min="10" max="15" width="10.90625" style="34" customWidth="1"/>
    <col min="16" max="19" width="10.90625" style="34"/>
    <col min="20" max="16384" width="10.90625" style="1"/>
  </cols>
  <sheetData>
    <row r="1" spans="3:19" s="23" customFormat="1" ht="12.75">
      <c r="C1" s="1098" t="s">
        <v>0</v>
      </c>
      <c r="D1" s="1098"/>
      <c r="E1" s="1098"/>
      <c r="F1" s="1098"/>
      <c r="G1" s="1098"/>
      <c r="H1" s="1098"/>
      <c r="I1" s="178"/>
      <c r="J1" s="178"/>
      <c r="K1" s="178"/>
      <c r="L1" s="178"/>
      <c r="M1" s="178"/>
      <c r="N1" s="178"/>
      <c r="O1" s="178"/>
      <c r="P1" s="178"/>
      <c r="Q1" s="178"/>
      <c r="R1" s="178"/>
      <c r="S1" s="178"/>
    </row>
    <row r="2" spans="3:19" s="23" customFormat="1" ht="12.75">
      <c r="C2" s="28"/>
      <c r="D2" s="28"/>
      <c r="E2" s="28"/>
      <c r="F2" s="28"/>
      <c r="G2" s="28"/>
      <c r="H2" s="28"/>
      <c r="I2" s="178"/>
      <c r="J2" s="178"/>
      <c r="K2" s="178"/>
      <c r="L2" s="178"/>
      <c r="M2" s="178"/>
      <c r="N2" s="178"/>
      <c r="O2" s="178"/>
      <c r="P2" s="178"/>
      <c r="Q2" s="178"/>
      <c r="R2" s="178"/>
      <c r="S2" s="178"/>
    </row>
    <row r="3" spans="3:19" s="23" customFormat="1" ht="13.5" customHeight="1">
      <c r="C3" s="1184" t="s">
        <v>586</v>
      </c>
      <c r="D3" s="1184"/>
      <c r="E3" s="1184"/>
      <c r="F3" s="1184"/>
      <c r="G3" s="1184"/>
      <c r="H3" s="1184"/>
      <c r="I3" s="178"/>
      <c r="J3" s="178"/>
      <c r="K3" s="178"/>
      <c r="L3" s="178"/>
      <c r="M3" s="178"/>
      <c r="N3" s="178"/>
      <c r="O3" s="178"/>
      <c r="P3" s="178"/>
      <c r="Q3" s="178"/>
      <c r="R3" s="178"/>
      <c r="S3" s="178"/>
    </row>
    <row r="4" spans="3:19" s="23" customFormat="1" ht="12.75">
      <c r="C4" s="1104" t="s">
        <v>33</v>
      </c>
      <c r="D4" s="1104"/>
      <c r="E4" s="1104"/>
      <c r="F4" s="1104"/>
      <c r="G4" s="1104"/>
      <c r="H4" s="1104"/>
      <c r="I4" s="237"/>
      <c r="J4" s="178"/>
      <c r="K4" s="178"/>
      <c r="L4" s="178"/>
      <c r="M4" s="178"/>
      <c r="N4" s="178"/>
      <c r="O4" s="178"/>
      <c r="P4" s="178"/>
      <c r="Q4" s="178"/>
      <c r="R4" s="178"/>
      <c r="S4" s="178"/>
    </row>
    <row r="5" spans="3:19" s="35" customFormat="1" ht="30" customHeight="1">
      <c r="C5" s="238" t="s">
        <v>34</v>
      </c>
      <c r="D5" s="238" t="s">
        <v>194</v>
      </c>
      <c r="E5" s="238" t="s">
        <v>6</v>
      </c>
      <c r="F5" s="238" t="s">
        <v>13</v>
      </c>
      <c r="G5" s="238" t="s">
        <v>110</v>
      </c>
      <c r="H5" s="238" t="s">
        <v>195</v>
      </c>
      <c r="I5" s="33"/>
      <c r="J5" s="178"/>
      <c r="K5" s="239"/>
      <c r="L5" s="33"/>
      <c r="M5" s="33"/>
      <c r="N5" s="33"/>
      <c r="O5" s="33"/>
      <c r="P5" s="33"/>
      <c r="Q5" s="33"/>
      <c r="R5" s="33"/>
      <c r="S5" s="33"/>
    </row>
    <row r="6" spans="3:19" s="35" customFormat="1" ht="15.75" customHeight="1">
      <c r="C6" s="484">
        <v>43952</v>
      </c>
      <c r="D6" s="622">
        <v>314.73</v>
      </c>
      <c r="E6" s="622">
        <v>1186.8599999999999</v>
      </c>
      <c r="F6" s="622">
        <v>1161.96</v>
      </c>
      <c r="G6" s="622">
        <v>182.25</v>
      </c>
      <c r="H6" s="622">
        <v>339.62</v>
      </c>
      <c r="I6" s="33"/>
      <c r="K6" s="825"/>
      <c r="L6" s="240"/>
      <c r="M6" s="33"/>
      <c r="N6" s="240"/>
      <c r="O6" s="33"/>
      <c r="P6" s="33"/>
      <c r="Q6" s="33"/>
      <c r="R6" s="33"/>
      <c r="S6" s="33"/>
    </row>
    <row r="7" spans="3:19" s="35" customFormat="1" ht="15.75" customHeight="1">
      <c r="C7" s="484">
        <v>43983</v>
      </c>
      <c r="D7" s="622">
        <v>312.91000000000003</v>
      </c>
      <c r="E7" s="622">
        <v>1188.48</v>
      </c>
      <c r="F7" s="622">
        <v>1163.51</v>
      </c>
      <c r="G7" s="622">
        <v>182.5</v>
      </c>
      <c r="H7" s="622">
        <v>337.87</v>
      </c>
      <c r="I7" s="212"/>
      <c r="K7" s="825"/>
      <c r="L7" s="242"/>
      <c r="M7" s="242"/>
      <c r="N7" s="242"/>
      <c r="O7" s="243"/>
      <c r="R7" s="244"/>
      <c r="S7" s="33"/>
    </row>
    <row r="8" spans="3:19" s="35" customFormat="1" ht="15.75" customHeight="1">
      <c r="C8" s="484">
        <v>44013</v>
      </c>
      <c r="D8" s="622">
        <v>312</v>
      </c>
      <c r="E8" s="622">
        <v>1163.2</v>
      </c>
      <c r="F8" s="622">
        <v>1160.0999999999999</v>
      </c>
      <c r="G8" s="622">
        <v>182.5</v>
      </c>
      <c r="H8" s="622">
        <v>315</v>
      </c>
      <c r="J8" s="571"/>
      <c r="K8" s="212"/>
      <c r="L8" s="242"/>
      <c r="M8" s="242"/>
      <c r="N8" s="242"/>
      <c r="O8" s="243"/>
      <c r="R8" s="245"/>
      <c r="S8" s="33"/>
    </row>
    <row r="9" spans="3:19" s="35" customFormat="1" ht="15.75" customHeight="1">
      <c r="C9" s="484">
        <v>44044</v>
      </c>
      <c r="D9" s="622">
        <v>311.3</v>
      </c>
      <c r="E9" s="622">
        <v>1171.03</v>
      </c>
      <c r="F9" s="622">
        <v>1164.8699999999999</v>
      </c>
      <c r="G9" s="622">
        <v>184.66</v>
      </c>
      <c r="H9" s="622">
        <v>317.45999999999998</v>
      </c>
      <c r="I9" s="240"/>
      <c r="K9" s="239"/>
      <c r="L9" s="240"/>
      <c r="M9" s="246"/>
      <c r="N9" s="240"/>
      <c r="O9" s="33"/>
      <c r="P9" s="33"/>
      <c r="Q9" s="33"/>
      <c r="R9" s="33"/>
      <c r="S9" s="33"/>
    </row>
    <row r="10" spans="3:19" s="35" customFormat="1" ht="15.75" customHeight="1">
      <c r="C10" s="484">
        <v>44075</v>
      </c>
      <c r="D10" s="622">
        <v>309.14999999999998</v>
      </c>
      <c r="E10" s="622">
        <v>1162.3800000000001</v>
      </c>
      <c r="F10" s="622">
        <v>1164.74</v>
      </c>
      <c r="G10" s="622">
        <v>186.03</v>
      </c>
      <c r="H10" s="622">
        <v>306.79000000000002</v>
      </c>
      <c r="I10" s="247"/>
      <c r="J10" s="191"/>
      <c r="K10" s="248"/>
      <c r="L10" s="248"/>
      <c r="M10" s="248"/>
      <c r="N10" s="248"/>
      <c r="O10" s="248"/>
      <c r="P10" s="240"/>
      <c r="Q10" s="33"/>
      <c r="R10" s="33"/>
      <c r="S10" s="33"/>
    </row>
    <row r="11" spans="3:19" s="35" customFormat="1" ht="15.75" customHeight="1">
      <c r="C11" s="484">
        <v>44105</v>
      </c>
      <c r="D11" s="899">
        <v>304.24</v>
      </c>
      <c r="E11" s="622">
        <v>1158.82</v>
      </c>
      <c r="F11" s="622">
        <v>1162.5999999999999</v>
      </c>
      <c r="G11" s="899">
        <v>184.47</v>
      </c>
      <c r="H11" s="899">
        <v>300.45</v>
      </c>
      <c r="I11" s="212"/>
      <c r="K11" s="248"/>
      <c r="L11" s="248"/>
      <c r="M11" s="248"/>
      <c r="N11" s="248"/>
      <c r="O11" s="248"/>
      <c r="P11" s="33"/>
      <c r="Q11" s="33"/>
      <c r="R11" s="33"/>
      <c r="S11" s="33"/>
    </row>
    <row r="12" spans="3:19" s="35" customFormat="1" ht="15.75" customHeight="1">
      <c r="C12" s="484">
        <v>44136</v>
      </c>
      <c r="D12" s="899">
        <v>303.33</v>
      </c>
      <c r="E12" s="622">
        <v>1144.6300000000001</v>
      </c>
      <c r="F12" s="622">
        <v>1156.54</v>
      </c>
      <c r="G12" s="899">
        <v>184.77</v>
      </c>
      <c r="H12" s="899">
        <v>291.43</v>
      </c>
      <c r="I12" s="240"/>
      <c r="J12" s="241"/>
      <c r="K12" s="239"/>
      <c r="L12" s="33"/>
      <c r="M12" s="33"/>
      <c r="N12" s="33"/>
      <c r="O12" s="33"/>
      <c r="P12" s="33"/>
      <c r="Q12" s="33"/>
      <c r="R12" s="33"/>
      <c r="S12" s="33"/>
    </row>
    <row r="13" spans="3:19" s="35" customFormat="1" ht="15.75" customHeight="1">
      <c r="C13" s="484">
        <v>44166</v>
      </c>
      <c r="D13" s="622">
        <v>303.42</v>
      </c>
      <c r="E13" s="622">
        <v>1144.56</v>
      </c>
      <c r="F13" s="622">
        <v>1158.01</v>
      </c>
      <c r="G13" s="622">
        <v>185.97</v>
      </c>
      <c r="H13" s="622">
        <v>288.95999999999998</v>
      </c>
      <c r="I13" s="240"/>
      <c r="J13" s="241"/>
      <c r="K13" s="239"/>
      <c r="L13" s="33"/>
      <c r="M13" s="33"/>
      <c r="N13" s="33"/>
      <c r="O13" s="33"/>
      <c r="P13" s="33"/>
      <c r="Q13" s="33"/>
      <c r="R13" s="33"/>
      <c r="S13" s="33"/>
    </row>
    <row r="14" spans="3:19" s="35" customFormat="1" ht="15.75" customHeight="1">
      <c r="C14" s="484">
        <v>44197</v>
      </c>
      <c r="D14" s="622">
        <v>303.01</v>
      </c>
      <c r="E14" s="622">
        <v>1133.8900000000001</v>
      </c>
      <c r="F14" s="622">
        <v>1153.06</v>
      </c>
      <c r="G14" s="622">
        <v>183.63</v>
      </c>
      <c r="H14" s="622">
        <v>283.83</v>
      </c>
      <c r="I14" s="249"/>
      <c r="J14" s="241"/>
      <c r="K14" s="250"/>
      <c r="L14" s="33"/>
      <c r="M14" s="240"/>
      <c r="N14" s="33"/>
      <c r="O14" s="33"/>
      <c r="P14" s="33"/>
      <c r="Q14" s="33"/>
      <c r="R14" s="33"/>
      <c r="S14" s="33"/>
    </row>
    <row r="15" spans="3:19" s="35" customFormat="1" ht="15.75" customHeight="1">
      <c r="C15" s="484">
        <v>44228</v>
      </c>
      <c r="D15" s="622">
        <v>303.01</v>
      </c>
      <c r="E15" s="622">
        <v>1134.05</v>
      </c>
      <c r="F15" s="622">
        <v>1150.52</v>
      </c>
      <c r="G15" s="622">
        <v>185.7</v>
      </c>
      <c r="H15" s="622">
        <v>286.52999999999997</v>
      </c>
      <c r="I15" s="253"/>
      <c r="J15" s="241"/>
      <c r="K15" s="251"/>
      <c r="L15" s="33"/>
      <c r="M15" s="33"/>
      <c r="N15" s="33"/>
      <c r="O15" s="33"/>
      <c r="P15" s="33"/>
      <c r="Q15" s="33"/>
      <c r="R15" s="33"/>
      <c r="S15" s="33"/>
    </row>
    <row r="16" spans="3:19" s="35" customFormat="1" ht="15.75" customHeight="1">
      <c r="C16" s="484">
        <v>44256</v>
      </c>
      <c r="D16" s="622">
        <v>303.13</v>
      </c>
      <c r="E16" s="622">
        <v>1136.31</v>
      </c>
      <c r="F16" s="622">
        <v>1151.77</v>
      </c>
      <c r="G16" s="622">
        <v>186.55</v>
      </c>
      <c r="H16" s="622">
        <v>287.67</v>
      </c>
      <c r="I16" s="252"/>
      <c r="J16" s="241"/>
      <c r="K16" s="251"/>
      <c r="L16" s="33"/>
      <c r="M16" s="240"/>
      <c r="N16" s="240"/>
      <c r="O16" s="240"/>
      <c r="P16" s="33"/>
      <c r="Q16" s="33"/>
      <c r="R16" s="33"/>
      <c r="S16" s="33"/>
    </row>
    <row r="17" spans="3:19" s="35" customFormat="1" ht="15.75" customHeight="1">
      <c r="C17" s="484">
        <v>44287</v>
      </c>
      <c r="D17" s="622"/>
      <c r="E17" s="622"/>
      <c r="F17" s="622"/>
      <c r="G17" s="622"/>
      <c r="H17" s="622"/>
      <c r="I17" s="252"/>
      <c r="J17" s="252"/>
      <c r="K17" s="252"/>
      <c r="L17" s="252"/>
      <c r="M17" s="252"/>
      <c r="N17" s="240"/>
      <c r="O17" s="33"/>
      <c r="P17" s="33"/>
      <c r="Q17" s="33"/>
      <c r="R17" s="33"/>
      <c r="S17" s="33"/>
    </row>
    <row r="18" spans="3:19" s="35" customFormat="1" ht="26.25" customHeight="1">
      <c r="C18" s="1169" t="s">
        <v>167</v>
      </c>
      <c r="D18" s="1169"/>
      <c r="E18" s="1169"/>
      <c r="F18" s="1169"/>
      <c r="G18" s="1169"/>
      <c r="H18" s="1169"/>
      <c r="K18" s="253"/>
      <c r="L18" s="33"/>
      <c r="M18" s="33"/>
      <c r="N18" s="33"/>
      <c r="O18" s="33"/>
      <c r="P18" s="33"/>
      <c r="Q18" s="33"/>
      <c r="R18" s="33"/>
      <c r="S18" s="33"/>
    </row>
    <row r="19" spans="3:19" ht="15" customHeight="1">
      <c r="I19" s="132"/>
    </row>
    <row r="20" spans="3:19" ht="9.75" customHeight="1">
      <c r="I20" s="132"/>
    </row>
    <row r="21" spans="3:19" ht="15" customHeight="1">
      <c r="I21" s="132"/>
    </row>
    <row r="22" spans="3:19" ht="15" customHeight="1">
      <c r="I22" s="132"/>
    </row>
    <row r="23" spans="3:19" ht="15" customHeight="1">
      <c r="I23" s="132"/>
    </row>
    <row r="24" spans="3:19" ht="15" customHeight="1">
      <c r="I24" s="132"/>
    </row>
    <row r="25" spans="3:19" ht="15" customHeight="1">
      <c r="I25" s="132"/>
    </row>
    <row r="26" spans="3:19" ht="15" customHeight="1">
      <c r="I26" s="132"/>
    </row>
    <row r="27" spans="3:19" ht="15" customHeight="1">
      <c r="I27" s="254"/>
    </row>
    <row r="28" spans="3:19" ht="15" customHeight="1">
      <c r="I28" s="178"/>
    </row>
    <row r="29" spans="3:19" ht="15" customHeight="1"/>
    <row r="30" spans="3:19" ht="15" customHeight="1">
      <c r="J30" s="179"/>
      <c r="K30" s="179"/>
      <c r="L30" s="179"/>
      <c r="M30" s="179"/>
      <c r="N30" s="179"/>
      <c r="O30" s="179"/>
    </row>
    <row r="31" spans="3:19" ht="14.25" customHeight="1">
      <c r="J31" s="179"/>
      <c r="K31" s="179"/>
      <c r="L31" s="255"/>
      <c r="M31" s="179"/>
      <c r="N31" s="179"/>
      <c r="O31" s="179"/>
    </row>
    <row r="32" spans="3:19" ht="23.25" customHeight="1">
      <c r="J32" s="179"/>
      <c r="K32" s="179"/>
      <c r="L32" s="179"/>
      <c r="M32" s="179"/>
      <c r="N32" s="179"/>
      <c r="O32" s="179"/>
    </row>
    <row r="33" spans="3:14">
      <c r="C33" s="1169" t="s">
        <v>168</v>
      </c>
      <c r="D33" s="1169"/>
      <c r="E33" s="1169"/>
      <c r="F33" s="1169"/>
      <c r="G33" s="1169"/>
      <c r="H33" s="1169"/>
    </row>
    <row r="34" spans="3:14" ht="15.95" customHeight="1">
      <c r="C34" s="1097"/>
      <c r="D34" s="1097"/>
      <c r="E34" s="1097"/>
      <c r="F34" s="1097"/>
      <c r="G34" s="1097"/>
      <c r="H34" s="1097"/>
    </row>
    <row r="36" spans="3:14" ht="15.6" customHeight="1">
      <c r="C36" s="1096"/>
      <c r="D36" s="1096"/>
      <c r="E36" s="1096"/>
      <c r="F36" s="1096"/>
      <c r="G36" s="1096"/>
      <c r="H36" s="1096"/>
    </row>
    <row r="41" spans="3:14">
      <c r="H41" s="16"/>
      <c r="I41" s="256"/>
      <c r="J41" s="256"/>
      <c r="K41" s="256"/>
      <c r="L41" s="256"/>
      <c r="M41" s="256"/>
      <c r="N41" s="256"/>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pageSetUpPr fitToPage="1"/>
  </sheetPr>
  <dimension ref="B1:R47"/>
  <sheetViews>
    <sheetView zoomScaleNormal="100" workbookViewId="0">
      <selection activeCell="H20" sqref="H20"/>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3" customWidth="1"/>
    <col min="14" max="18" width="10.90625" style="113"/>
    <col min="19" max="16384" width="10.90625" style="1"/>
  </cols>
  <sheetData>
    <row r="1" spans="2:18" s="23" customFormat="1" ht="12.75">
      <c r="B1" s="1104" t="s">
        <v>1</v>
      </c>
      <c r="C1" s="1104"/>
      <c r="D1" s="1104"/>
      <c r="E1" s="1104"/>
      <c r="F1" s="1104"/>
      <c r="G1" s="1104"/>
      <c r="H1" s="107"/>
      <c r="I1" s="107"/>
      <c r="J1" s="107"/>
      <c r="K1" s="107"/>
      <c r="L1" s="107"/>
      <c r="M1" s="107"/>
      <c r="N1" s="107"/>
      <c r="O1" s="107"/>
      <c r="P1" s="107"/>
      <c r="Q1" s="107"/>
      <c r="R1" s="107"/>
    </row>
    <row r="2" spans="2:18" s="23" customFormat="1" ht="12.75">
      <c r="B2" s="28"/>
      <c r="C2" s="28"/>
      <c r="D2" s="28"/>
      <c r="E2" s="28"/>
      <c r="F2" s="28"/>
      <c r="H2" s="107"/>
      <c r="I2" s="107"/>
      <c r="J2" s="107"/>
      <c r="K2" s="107"/>
      <c r="L2" s="107"/>
      <c r="M2" s="107"/>
      <c r="N2" s="107"/>
      <c r="O2" s="107"/>
      <c r="P2" s="107"/>
      <c r="Q2" s="107"/>
      <c r="R2" s="107"/>
    </row>
    <row r="3" spans="2:18" s="23" customFormat="1" ht="12.75">
      <c r="B3" s="1098" t="s">
        <v>183</v>
      </c>
      <c r="C3" s="1098"/>
      <c r="D3" s="1098"/>
      <c r="E3" s="1098"/>
      <c r="F3" s="1098"/>
      <c r="G3" s="1098"/>
      <c r="H3" s="107"/>
      <c r="I3" s="107"/>
      <c r="J3" s="107"/>
      <c r="K3" s="107"/>
      <c r="L3" s="107"/>
      <c r="M3" s="107"/>
      <c r="N3" s="107"/>
      <c r="O3" s="107"/>
      <c r="P3" s="107"/>
      <c r="Q3" s="107"/>
      <c r="R3" s="107"/>
    </row>
    <row r="4" spans="2:18" s="23" customFormat="1" ht="12.75">
      <c r="B4" s="1105" t="s">
        <v>733</v>
      </c>
      <c r="C4" s="1105"/>
      <c r="D4" s="1105"/>
      <c r="E4" s="1105"/>
      <c r="F4" s="1105"/>
      <c r="G4" s="1105"/>
      <c r="H4" s="107"/>
      <c r="I4" s="107"/>
      <c r="J4" s="107"/>
      <c r="K4" s="107"/>
      <c r="L4" s="107"/>
      <c r="M4" s="107"/>
      <c r="N4" s="107"/>
      <c r="O4" s="107"/>
      <c r="P4" s="107"/>
      <c r="Q4" s="107"/>
      <c r="R4" s="107"/>
    </row>
    <row r="5" spans="2:18" s="35" customFormat="1" ht="25.5" customHeight="1">
      <c r="B5" s="257" t="s">
        <v>5</v>
      </c>
      <c r="C5" s="257" t="s">
        <v>194</v>
      </c>
      <c r="D5" s="257" t="s">
        <v>6</v>
      </c>
      <c r="E5" s="257" t="s">
        <v>13</v>
      </c>
      <c r="F5" s="257" t="s">
        <v>195</v>
      </c>
      <c r="G5" s="257" t="s">
        <v>196</v>
      </c>
      <c r="H5" s="258"/>
      <c r="I5" s="194"/>
      <c r="J5" s="194"/>
      <c r="K5" s="194"/>
      <c r="L5" s="194"/>
      <c r="M5" s="194"/>
      <c r="N5" s="194"/>
      <c r="O5" s="115"/>
      <c r="P5" s="115"/>
      <c r="Q5" s="115"/>
      <c r="R5" s="115"/>
    </row>
    <row r="6" spans="2:18" s="35" customFormat="1" ht="15.75" customHeight="1">
      <c r="B6" s="529" t="s">
        <v>197</v>
      </c>
      <c r="C6" s="622">
        <v>130.05799999999999</v>
      </c>
      <c r="D6" s="622">
        <v>888.16300000000001</v>
      </c>
      <c r="E6" s="622">
        <v>883.69299999999998</v>
      </c>
      <c r="F6" s="622">
        <v>134.52799999999999</v>
      </c>
      <c r="G6" s="623">
        <f t="shared" ref="G6:G13" si="0">+F6/E6</f>
        <v>0.15223386402291292</v>
      </c>
      <c r="H6" s="530"/>
      <c r="I6" s="200"/>
      <c r="J6" s="194"/>
      <c r="K6" s="194"/>
      <c r="L6" s="194"/>
      <c r="M6" s="194"/>
      <c r="N6" s="194"/>
      <c r="O6" s="115"/>
      <c r="P6" s="115"/>
      <c r="Q6" s="115"/>
      <c r="R6" s="115"/>
    </row>
    <row r="7" spans="2:18" s="35" customFormat="1" ht="15.75" customHeight="1">
      <c r="B7" s="529" t="s">
        <v>198</v>
      </c>
      <c r="C7" s="622">
        <v>134.52799999999999</v>
      </c>
      <c r="D7" s="622">
        <v>867.96600000000001</v>
      </c>
      <c r="E7" s="622">
        <v>864.69399999999996</v>
      </c>
      <c r="F7" s="622">
        <v>137.80000000000001</v>
      </c>
      <c r="G7" s="623">
        <f t="shared" si="0"/>
        <v>0.1593627341001557</v>
      </c>
      <c r="H7" s="530"/>
      <c r="I7" s="824"/>
      <c r="J7" s="194"/>
      <c r="K7" s="194"/>
      <c r="L7" s="194"/>
      <c r="M7" s="194"/>
      <c r="N7" s="194"/>
      <c r="O7" s="115"/>
      <c r="P7" s="115"/>
      <c r="Q7" s="115"/>
      <c r="R7" s="115"/>
    </row>
    <row r="8" spans="2:18" s="35" customFormat="1" ht="15.75" customHeight="1">
      <c r="B8" s="529" t="s">
        <v>69</v>
      </c>
      <c r="C8" s="622">
        <v>133.41</v>
      </c>
      <c r="D8" s="622">
        <v>990.47</v>
      </c>
      <c r="E8" s="622">
        <v>948.85</v>
      </c>
      <c r="F8" s="622">
        <v>175.03</v>
      </c>
      <c r="G8" s="623">
        <f t="shared" si="0"/>
        <v>0.18446540549085735</v>
      </c>
      <c r="H8" s="530"/>
      <c r="I8"/>
      <c r="J8"/>
      <c r="K8"/>
      <c r="L8"/>
      <c r="M8"/>
      <c r="N8"/>
      <c r="O8"/>
      <c r="P8"/>
      <c r="Q8" s="115"/>
      <c r="R8" s="115"/>
    </row>
    <row r="9" spans="2:18" s="35" customFormat="1" ht="15.75" customHeight="1">
      <c r="B9" s="529" t="s">
        <v>133</v>
      </c>
      <c r="C9" s="622">
        <v>174.77</v>
      </c>
      <c r="D9" s="622">
        <v>1015.57</v>
      </c>
      <c r="E9" s="622">
        <v>980.58</v>
      </c>
      <c r="F9" s="622">
        <v>209.77</v>
      </c>
      <c r="G9" s="623">
        <f t="shared" si="0"/>
        <v>0.21392441208264495</v>
      </c>
      <c r="H9" s="530"/>
      <c r="I9"/>
      <c r="J9"/>
      <c r="K9"/>
      <c r="L9"/>
      <c r="M9"/>
      <c r="N9"/>
      <c r="O9"/>
      <c r="P9"/>
      <c r="Q9" s="115"/>
      <c r="R9" s="115"/>
    </row>
    <row r="10" spans="2:18" s="35" customFormat="1" ht="15.75" customHeight="1">
      <c r="B10" s="531" t="s">
        <v>132</v>
      </c>
      <c r="C10" s="622">
        <v>209.73</v>
      </c>
      <c r="D10" s="622">
        <v>972.21</v>
      </c>
      <c r="E10" s="622">
        <v>968.01</v>
      </c>
      <c r="F10" s="306">
        <v>213.93</v>
      </c>
      <c r="G10" s="623">
        <f t="shared" si="0"/>
        <v>0.22099978306009235</v>
      </c>
      <c r="H10" s="530"/>
      <c r="I10" s="375"/>
      <c r="J10" s="375"/>
      <c r="K10" s="375"/>
      <c r="L10" s="375"/>
      <c r="M10" s="375"/>
      <c r="N10" s="375"/>
      <c r="O10" s="1261"/>
      <c r="P10" s="1262"/>
      <c r="Q10" s="115"/>
      <c r="R10" s="115"/>
    </row>
    <row r="11" spans="2:18" s="132" customFormat="1" ht="15.75" customHeight="1">
      <c r="B11" s="150" t="s">
        <v>447</v>
      </c>
      <c r="C11" s="622">
        <v>311.48</v>
      </c>
      <c r="D11" s="622">
        <v>1123.4100000000001</v>
      </c>
      <c r="E11" s="622">
        <v>1084.1400000000001</v>
      </c>
      <c r="F11" s="622">
        <v>350.46</v>
      </c>
      <c r="G11" s="623">
        <f t="shared" si="0"/>
        <v>0.32326083347169182</v>
      </c>
      <c r="H11" s="212"/>
      <c r="K11" s="200"/>
      <c r="O11" s="342"/>
      <c r="P11" s="342"/>
      <c r="Q11" s="133"/>
      <c r="R11" s="133"/>
    </row>
    <row r="12" spans="2:18" s="132" customFormat="1" ht="15.75" customHeight="1">
      <c r="B12" s="150" t="s">
        <v>481</v>
      </c>
      <c r="C12" s="622">
        <v>351.96</v>
      </c>
      <c r="D12" s="622">
        <v>1080.0899999999999</v>
      </c>
      <c r="E12" s="622">
        <v>1090.45</v>
      </c>
      <c r="F12" s="622">
        <v>341.6</v>
      </c>
      <c r="G12" s="623">
        <f t="shared" si="0"/>
        <v>0.31326516575725616</v>
      </c>
      <c r="H12" s="530"/>
      <c r="I12" s="486"/>
      <c r="J12" s="486"/>
      <c r="K12" s="486"/>
      <c r="L12" s="518"/>
      <c r="M12" s="518"/>
      <c r="N12" s="518"/>
      <c r="O12" s="1257"/>
      <c r="P12" s="1258"/>
      <c r="Q12" s="133"/>
      <c r="R12" s="133"/>
    </row>
    <row r="13" spans="2:18" s="132" customFormat="1" ht="15" customHeight="1">
      <c r="B13" s="531" t="s">
        <v>582</v>
      </c>
      <c r="C13" s="860">
        <v>341.07</v>
      </c>
      <c r="D13" s="860">
        <v>1124.99</v>
      </c>
      <c r="E13" s="860">
        <v>1144.8399999999999</v>
      </c>
      <c r="F13" s="860">
        <v>321.20999999999998</v>
      </c>
      <c r="G13" s="623">
        <f t="shared" si="0"/>
        <v>0.2805719576534712</v>
      </c>
      <c r="H13" s="530"/>
      <c r="I13" s="375"/>
      <c r="J13" s="375"/>
      <c r="K13" s="1261"/>
      <c r="L13" s="1262"/>
      <c r="M13" s="650"/>
      <c r="N13" s="650"/>
      <c r="O13" s="650"/>
      <c r="P13" s="651"/>
      <c r="Q13" s="133"/>
      <c r="R13" s="133"/>
    </row>
    <row r="14" spans="2:18" s="132" customFormat="1" ht="15.75" customHeight="1">
      <c r="B14" s="531" t="s">
        <v>545</v>
      </c>
      <c r="C14" s="860">
        <v>321.20999999999998</v>
      </c>
      <c r="D14" s="860">
        <v>1116.53</v>
      </c>
      <c r="E14" s="860">
        <v>1134.6199999999999</v>
      </c>
      <c r="F14" s="860">
        <v>303.13</v>
      </c>
      <c r="G14" s="861">
        <f>+F14/E14</f>
        <v>0.26716433695862934</v>
      </c>
      <c r="H14" s="880"/>
      <c r="I14" s="881"/>
      <c r="J14" s="882"/>
      <c r="K14" s="486"/>
      <c r="L14" s="817"/>
      <c r="M14" s="817"/>
      <c r="N14" s="817"/>
      <c r="O14" s="817"/>
      <c r="P14" s="818"/>
      <c r="Q14" s="133"/>
      <c r="R14" s="133"/>
    </row>
    <row r="15" spans="2:18" s="35" customFormat="1" ht="15.75" customHeight="1">
      <c r="B15" s="35" t="s">
        <v>544</v>
      </c>
      <c r="C15" s="860">
        <v>303.13</v>
      </c>
      <c r="D15" s="860">
        <v>1136.31</v>
      </c>
      <c r="E15" s="860">
        <v>1151.77</v>
      </c>
      <c r="F15" s="860">
        <v>287.67</v>
      </c>
      <c r="G15" s="861">
        <f>+F14/E15</f>
        <v>0.2631862264167325</v>
      </c>
      <c r="H15" s="786"/>
      <c r="I15" s="826"/>
      <c r="J15" s="557"/>
      <c r="K15" s="200"/>
      <c r="L15" s="194"/>
      <c r="M15" s="194"/>
      <c r="N15" s="194"/>
      <c r="O15" s="115"/>
      <c r="P15" s="115"/>
      <c r="Q15" s="115"/>
      <c r="R15" s="115"/>
    </row>
    <row r="16" spans="2:18" s="35" customFormat="1" ht="15.75" customHeight="1">
      <c r="B16" s="1259" t="s">
        <v>168</v>
      </c>
      <c r="C16" s="1259"/>
      <c r="D16" s="1259"/>
      <c r="E16" s="1259"/>
      <c r="F16" s="1259"/>
      <c r="G16" s="1259"/>
      <c r="H16" s="1261"/>
      <c r="I16" s="1262"/>
      <c r="K16" s="1043"/>
      <c r="O16" s="1261"/>
      <c r="P16" s="1262"/>
      <c r="Q16" s="115"/>
      <c r="R16" s="115"/>
    </row>
    <row r="17" spans="2:18" s="35" customFormat="1" ht="24" customHeight="1">
      <c r="B17" s="1260"/>
      <c r="C17" s="1260"/>
      <c r="D17" s="1260"/>
      <c r="E17" s="1260"/>
      <c r="F17" s="1260"/>
      <c r="G17" s="1260"/>
      <c r="H17" s="133"/>
      <c r="I17" s="342"/>
      <c r="K17" s="133"/>
      <c r="L17" s="133"/>
      <c r="M17" s="133"/>
      <c r="N17" s="133"/>
      <c r="O17" s="115"/>
      <c r="P17" s="115"/>
      <c r="Q17" s="115"/>
      <c r="R17" s="115"/>
    </row>
    <row r="18" spans="2:18" s="35" customFormat="1" ht="15.75" customHeight="1">
      <c r="B18" s="259"/>
      <c r="C18" s="738"/>
      <c r="D18" s="738"/>
      <c r="E18" s="738"/>
      <c r="F18" s="738"/>
      <c r="G18" s="259"/>
      <c r="H18" s="133"/>
      <c r="J18" s="133"/>
      <c r="K18" s="133"/>
      <c r="L18" s="133"/>
      <c r="M18" s="133"/>
      <c r="N18" s="133"/>
      <c r="O18" s="115"/>
      <c r="P18" s="115"/>
      <c r="Q18" s="115"/>
      <c r="R18" s="115"/>
    </row>
    <row r="19" spans="2:18" ht="12.75">
      <c r="C19" s="15"/>
      <c r="D19" s="15"/>
      <c r="E19" s="15"/>
      <c r="F19" s="15"/>
      <c r="G19" s="260"/>
      <c r="H19" s="136"/>
    </row>
    <row r="20" spans="2:18" ht="15" customHeight="1">
      <c r="G20" s="9"/>
      <c r="H20" s="127"/>
    </row>
    <row r="21" spans="2:18" ht="9.75" customHeight="1">
      <c r="G21" s="9"/>
      <c r="H21" s="127"/>
    </row>
    <row r="22" spans="2:18" ht="15" customHeight="1">
      <c r="G22" s="8"/>
    </row>
    <row r="23" spans="2:18" ht="15" customHeight="1">
      <c r="G23" s="8"/>
    </row>
    <row r="24" spans="2:18" ht="15" customHeight="1">
      <c r="G24" s="261"/>
      <c r="H24" s="262"/>
    </row>
    <row r="25" spans="2:18" ht="15" customHeight="1">
      <c r="G25" s="10"/>
      <c r="H25" s="262"/>
      <c r="I25" s="263"/>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195"/>
      <c r="I31" s="195"/>
      <c r="J31" s="195"/>
      <c r="K31" s="195"/>
      <c r="L31" s="195"/>
      <c r="M31" s="195"/>
    </row>
    <row r="32" spans="2:18" ht="15" customHeight="1">
      <c r="G32" s="10"/>
      <c r="H32" s="195"/>
      <c r="I32" s="195"/>
      <c r="J32" s="264"/>
      <c r="K32" s="195"/>
      <c r="L32" s="195"/>
      <c r="M32" s="195"/>
    </row>
    <row r="33" spans="2:13" ht="15" customHeight="1">
      <c r="G33" s="10"/>
      <c r="H33" s="195"/>
      <c r="I33" s="195"/>
      <c r="J33" s="195"/>
      <c r="K33" s="195"/>
      <c r="L33" s="195"/>
      <c r="M33" s="195"/>
    </row>
    <row r="34" spans="2:13" ht="15" customHeight="1">
      <c r="H34" s="265"/>
      <c r="I34" s="266"/>
      <c r="J34" s="266"/>
      <c r="K34" s="266"/>
      <c r="L34" s="266"/>
      <c r="M34" s="267"/>
    </row>
    <row r="35" spans="2:13" ht="12" customHeight="1">
      <c r="B35" s="1" t="s">
        <v>466</v>
      </c>
    </row>
    <row r="36" spans="2:13" ht="14.25" customHeight="1"/>
    <row r="37" spans="2:13" ht="14.25" customHeight="1">
      <c r="B37" s="1096"/>
      <c r="C37" s="1256"/>
      <c r="D37" s="1256"/>
      <c r="E37" s="1256"/>
      <c r="F37" s="1256"/>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12"/>
      <c r="I47" s="112"/>
      <c r="J47" s="112"/>
      <c r="K47" s="112"/>
      <c r="L47" s="112"/>
    </row>
  </sheetData>
  <mergeCells count="11">
    <mergeCell ref="B37:F37"/>
    <mergeCell ref="B1:G1"/>
    <mergeCell ref="B3:G3"/>
    <mergeCell ref="B4:G4"/>
    <mergeCell ref="O12:P12"/>
    <mergeCell ref="B16:G16"/>
    <mergeCell ref="B17:G17"/>
    <mergeCell ref="K13:L13"/>
    <mergeCell ref="O10:P10"/>
    <mergeCell ref="O16:P16"/>
    <mergeCell ref="H16:I16"/>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zoomScaleNormal="100" workbookViewId="0">
      <selection activeCell="A24" sqref="A24:XFD24"/>
    </sheetView>
  </sheetViews>
  <sheetFormatPr baseColWidth="10" defaultRowHeight="18"/>
  <cols>
    <col min="1" max="1" width="1.453125" customWidth="1"/>
    <col min="2" max="2" width="12.26953125" customWidth="1"/>
    <col min="3" max="9" width="6.90625" customWidth="1"/>
  </cols>
  <sheetData>
    <row r="2" spans="2:11">
      <c r="B2" s="1107" t="s">
        <v>351</v>
      </c>
      <c r="C2" s="1107"/>
      <c r="D2" s="1107"/>
      <c r="E2" s="1107"/>
      <c r="F2" s="1107"/>
      <c r="G2" s="1107"/>
      <c r="H2" s="1107"/>
      <c r="I2" s="1107"/>
    </row>
    <row r="3" spans="2:11" ht="18" customHeight="1">
      <c r="B3" s="1108" t="s">
        <v>184</v>
      </c>
      <c r="C3" s="1108"/>
      <c r="D3" s="1108"/>
      <c r="E3" s="1108"/>
      <c r="F3" s="1108"/>
      <c r="G3" s="1108"/>
      <c r="H3" s="1108"/>
      <c r="I3" s="1108"/>
    </row>
    <row r="4" spans="2:11" ht="18" customHeight="1">
      <c r="B4" s="1109" t="s">
        <v>733</v>
      </c>
      <c r="C4" s="1109"/>
      <c r="D4" s="1109"/>
      <c r="E4" s="1109"/>
      <c r="F4" s="1109"/>
      <c r="G4" s="1109"/>
      <c r="H4" s="1109"/>
      <c r="I4" s="1109"/>
    </row>
    <row r="5" spans="2:11">
      <c r="B5" s="1264"/>
      <c r="C5" s="1264"/>
      <c r="D5" s="1264"/>
      <c r="E5" s="1264"/>
      <c r="F5" s="1264"/>
      <c r="G5" s="1264"/>
    </row>
    <row r="6" spans="2:11" ht="56.25" customHeight="1">
      <c r="B6" s="656" t="s">
        <v>5</v>
      </c>
      <c r="C6" s="654" t="s">
        <v>71</v>
      </c>
      <c r="D6" s="654" t="s">
        <v>89</v>
      </c>
      <c r="E6" s="895" t="s">
        <v>199</v>
      </c>
      <c r="F6" s="895" t="s">
        <v>9</v>
      </c>
      <c r="G6" s="895" t="s">
        <v>70</v>
      </c>
      <c r="H6" s="655" t="s">
        <v>126</v>
      </c>
      <c r="I6" s="655" t="s">
        <v>482</v>
      </c>
    </row>
    <row r="7" spans="2:11">
      <c r="B7" s="1265" t="s">
        <v>583</v>
      </c>
      <c r="C7" s="1266"/>
      <c r="D7" s="1266"/>
      <c r="E7" s="1266"/>
      <c r="F7" s="1266"/>
      <c r="G7" s="1266"/>
      <c r="H7" s="1266"/>
      <c r="I7" s="1267"/>
    </row>
    <row r="8" spans="2:11" ht="15.75" customHeight="1">
      <c r="B8" s="268" t="s">
        <v>127</v>
      </c>
      <c r="C8" s="883">
        <v>321.20999999999998</v>
      </c>
      <c r="D8" s="883">
        <v>56.41</v>
      </c>
      <c r="E8" s="883">
        <v>5.29</v>
      </c>
      <c r="F8" s="883">
        <v>2.37</v>
      </c>
      <c r="G8" s="883">
        <v>0.89</v>
      </c>
      <c r="H8" s="883">
        <v>210.16</v>
      </c>
      <c r="I8" s="883">
        <v>111.05</v>
      </c>
      <c r="K8" s="916"/>
    </row>
    <row r="9" spans="2:11" ht="15.75" customHeight="1">
      <c r="B9" s="268" t="s">
        <v>6</v>
      </c>
      <c r="C9" s="883">
        <v>1116.53</v>
      </c>
      <c r="D9" s="883">
        <v>345.96</v>
      </c>
      <c r="E9" s="883">
        <v>102</v>
      </c>
      <c r="F9" s="883">
        <v>51</v>
      </c>
      <c r="G9" s="883">
        <v>35.89</v>
      </c>
      <c r="H9" s="883">
        <v>260.77999999999997</v>
      </c>
      <c r="I9" s="883">
        <v>855.75</v>
      </c>
      <c r="K9" s="916"/>
    </row>
    <row r="10" spans="2:11" ht="15.75" customHeight="1">
      <c r="B10" s="268" t="s">
        <v>123</v>
      </c>
      <c r="C10" s="883">
        <v>165.36</v>
      </c>
      <c r="D10" s="883">
        <v>1.06</v>
      </c>
      <c r="E10" s="883">
        <v>1.5</v>
      </c>
      <c r="F10" s="883">
        <v>0.01</v>
      </c>
      <c r="G10" s="883">
        <v>0.03</v>
      </c>
      <c r="H10" s="883">
        <v>7.6</v>
      </c>
      <c r="I10" s="883">
        <v>157.76</v>
      </c>
      <c r="K10" s="916"/>
    </row>
    <row r="11" spans="2:11" ht="15.75" customHeight="1">
      <c r="B11" s="268" t="s">
        <v>13</v>
      </c>
      <c r="C11" s="883">
        <v>1134.6199999999999</v>
      </c>
      <c r="D11" s="883">
        <v>309.51</v>
      </c>
      <c r="E11" s="883">
        <v>68.5</v>
      </c>
      <c r="F11" s="883">
        <v>13.5</v>
      </c>
      <c r="G11" s="883">
        <v>6.4</v>
      </c>
      <c r="H11" s="883">
        <v>278</v>
      </c>
      <c r="I11" s="883">
        <v>856.62</v>
      </c>
      <c r="K11" s="916"/>
    </row>
    <row r="12" spans="2:11" ht="15.75" customHeight="1">
      <c r="B12" s="268" t="s">
        <v>110</v>
      </c>
      <c r="C12" s="883">
        <v>171.64</v>
      </c>
      <c r="D12" s="883">
        <v>45.17</v>
      </c>
      <c r="E12" s="883">
        <v>35.5</v>
      </c>
      <c r="F12" s="883">
        <v>36.200000000000003</v>
      </c>
      <c r="G12" s="883">
        <v>28.93</v>
      </c>
      <c r="H12" s="883">
        <v>0.01</v>
      </c>
      <c r="I12" s="883">
        <v>171.63</v>
      </c>
      <c r="K12" s="916"/>
    </row>
    <row r="13" spans="2:11" ht="15.75" customHeight="1">
      <c r="B13" s="993" t="s">
        <v>129</v>
      </c>
      <c r="C13" s="883">
        <v>303.13</v>
      </c>
      <c r="D13" s="883">
        <v>48.76</v>
      </c>
      <c r="E13" s="883">
        <v>4.79</v>
      </c>
      <c r="F13" s="883">
        <v>3.67</v>
      </c>
      <c r="G13" s="883">
        <v>1.48</v>
      </c>
      <c r="H13" s="883">
        <v>200.53</v>
      </c>
      <c r="I13" s="883">
        <v>102.6</v>
      </c>
      <c r="K13" s="916"/>
    </row>
    <row r="14" spans="2:11" ht="15.75" customHeight="1">
      <c r="B14" s="1268" t="s">
        <v>584</v>
      </c>
      <c r="C14" s="1269"/>
      <c r="D14" s="1269"/>
      <c r="E14" s="1269"/>
      <c r="F14" s="1269"/>
      <c r="G14" s="1269"/>
      <c r="H14" s="1269"/>
      <c r="I14" s="1270"/>
      <c r="K14" s="916"/>
    </row>
    <row r="15" spans="2:11" ht="15.75" customHeight="1">
      <c r="B15" s="994" t="s">
        <v>127</v>
      </c>
      <c r="C15" s="862">
        <v>303.13</v>
      </c>
      <c r="D15" s="862">
        <v>48.76</v>
      </c>
      <c r="E15" s="862">
        <v>4.79</v>
      </c>
      <c r="F15" s="862">
        <v>3.67</v>
      </c>
      <c r="G15" s="862">
        <v>1.48</v>
      </c>
      <c r="H15" s="862">
        <v>200.53</v>
      </c>
      <c r="I15" s="862">
        <v>102.6</v>
      </c>
      <c r="K15" s="916"/>
    </row>
    <row r="16" spans="2:11" ht="15.75" customHeight="1">
      <c r="B16" s="269" t="s">
        <v>6</v>
      </c>
      <c r="C16" s="862">
        <v>1136.31</v>
      </c>
      <c r="D16" s="862">
        <v>360.25</v>
      </c>
      <c r="E16" s="862">
        <v>109</v>
      </c>
      <c r="F16" s="862">
        <v>47.5</v>
      </c>
      <c r="G16" s="862">
        <v>29.5</v>
      </c>
      <c r="H16" s="862">
        <v>260.67</v>
      </c>
      <c r="I16" s="862">
        <v>875.64</v>
      </c>
      <c r="K16" s="916"/>
    </row>
    <row r="17" spans="2:12" ht="15.75" customHeight="1">
      <c r="B17" s="269" t="s">
        <v>123</v>
      </c>
      <c r="C17" s="862">
        <v>179.94</v>
      </c>
      <c r="D17" s="862">
        <v>0.64</v>
      </c>
      <c r="E17" s="862">
        <v>1.5</v>
      </c>
      <c r="F17" s="862">
        <v>0.01</v>
      </c>
      <c r="G17" s="862">
        <v>0.02</v>
      </c>
      <c r="H17" s="862">
        <v>24</v>
      </c>
      <c r="I17" s="862">
        <v>155.94</v>
      </c>
      <c r="K17" s="916"/>
    </row>
    <row r="18" spans="2:12" ht="15.75" customHeight="1">
      <c r="B18" s="269" t="s">
        <v>13</v>
      </c>
      <c r="C18" s="862">
        <v>1151.77</v>
      </c>
      <c r="D18" s="862">
        <v>305.45</v>
      </c>
      <c r="E18" s="862">
        <v>70</v>
      </c>
      <c r="F18" s="862">
        <v>15</v>
      </c>
      <c r="G18" s="862">
        <v>6.1</v>
      </c>
      <c r="H18" s="862">
        <v>289</v>
      </c>
      <c r="I18" s="862">
        <v>862.77</v>
      </c>
      <c r="K18" s="916"/>
    </row>
    <row r="19" spans="2:12" ht="15.75" customHeight="1">
      <c r="B19" s="269" t="s">
        <v>110</v>
      </c>
      <c r="C19" s="862">
        <v>186.55</v>
      </c>
      <c r="D19" s="862">
        <v>66.040000000000006</v>
      </c>
      <c r="E19" s="862">
        <v>39</v>
      </c>
      <c r="F19" s="862">
        <v>34</v>
      </c>
      <c r="G19" s="862">
        <v>24</v>
      </c>
      <c r="H19" s="862">
        <v>0.02</v>
      </c>
      <c r="I19" s="862">
        <v>186.53</v>
      </c>
      <c r="J19" s="270"/>
      <c r="K19" s="916"/>
      <c r="L19" s="270"/>
    </row>
    <row r="20" spans="2:12" ht="15.75" customHeight="1">
      <c r="B20" s="269" t="s">
        <v>129</v>
      </c>
      <c r="C20" s="862">
        <v>287.67</v>
      </c>
      <c r="D20" s="862">
        <v>38.15</v>
      </c>
      <c r="E20" s="862">
        <v>6.29</v>
      </c>
      <c r="F20" s="862">
        <v>2.1800000000000002</v>
      </c>
      <c r="G20" s="862">
        <v>0.89</v>
      </c>
      <c r="H20" s="862">
        <v>196.18</v>
      </c>
      <c r="I20" s="862">
        <v>91.49</v>
      </c>
      <c r="K20" s="916"/>
    </row>
    <row r="21" spans="2:12">
      <c r="B21" s="14" t="s">
        <v>353</v>
      </c>
      <c r="C21" s="14"/>
      <c r="D21" s="14"/>
      <c r="E21" s="14"/>
      <c r="F21" s="14"/>
      <c r="G21" s="14"/>
      <c r="H21" s="14"/>
    </row>
    <row r="22" spans="2:12" ht="18" customHeight="1">
      <c r="B22" s="1263"/>
      <c r="C22" s="1263"/>
      <c r="D22" s="1263"/>
      <c r="E22" s="1263"/>
      <c r="F22" s="1263"/>
      <c r="G22" s="1263"/>
      <c r="H22" s="1263"/>
    </row>
    <row r="23" spans="2:12">
      <c r="C23" s="271"/>
    </row>
    <row r="24" spans="2:12">
      <c r="C24" s="271"/>
    </row>
    <row r="25" spans="2:12">
      <c r="C25" s="271"/>
    </row>
    <row r="26" spans="2:12">
      <c r="C26" s="27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pageSetUpPr fitToPage="1"/>
  </sheetPr>
  <dimension ref="B1:M41"/>
  <sheetViews>
    <sheetView zoomScaleNormal="100" workbookViewId="0">
      <selection activeCell="F23" sqref="F23"/>
    </sheetView>
  </sheetViews>
  <sheetFormatPr baseColWidth="10" defaultColWidth="10.90625" defaultRowHeight="12.75"/>
  <cols>
    <col min="1" max="1" width="1.6328125" style="70" customWidth="1"/>
    <col min="2" max="5" width="14.08984375" style="70" customWidth="1"/>
    <col min="6" max="8" width="10.90625" style="70" customWidth="1"/>
    <col min="9" max="16384" width="10.90625" style="70"/>
  </cols>
  <sheetData>
    <row r="1" spans="2:13" s="29" customFormat="1" ht="15" customHeight="1">
      <c r="B1" s="1107" t="s">
        <v>45</v>
      </c>
      <c r="C1" s="1107"/>
      <c r="D1" s="1107"/>
      <c r="E1" s="1107"/>
    </row>
    <row r="2" spans="2:13" s="29" customFormat="1" ht="15" customHeight="1">
      <c r="B2" s="30"/>
      <c r="C2" s="30"/>
      <c r="D2" s="30"/>
      <c r="E2" s="30"/>
    </row>
    <row r="3" spans="2:13" s="29" customFormat="1" ht="34.5" customHeight="1">
      <c r="B3" s="1108" t="s">
        <v>456</v>
      </c>
      <c r="C3" s="1108"/>
      <c r="D3" s="1108"/>
      <c r="E3" s="1108"/>
    </row>
    <row r="4" spans="2:13" s="29" customFormat="1" ht="15" customHeight="1">
      <c r="B4" s="1107" t="s">
        <v>507</v>
      </c>
      <c r="C4" s="1107"/>
      <c r="D4" s="1107"/>
      <c r="E4" s="1107"/>
    </row>
    <row r="5" spans="2:13" s="29" customFormat="1" ht="30.75" customHeight="1">
      <c r="B5" s="272" t="s">
        <v>444</v>
      </c>
      <c r="C5" s="273" t="s">
        <v>407</v>
      </c>
      <c r="D5" s="273" t="s">
        <v>408</v>
      </c>
      <c r="E5" s="273" t="s">
        <v>201</v>
      </c>
    </row>
    <row r="6" spans="2:13" s="29" customFormat="1" ht="15.75" customHeight="1">
      <c r="B6" s="94" t="s">
        <v>68</v>
      </c>
      <c r="C6" s="832">
        <v>102.54600000000001</v>
      </c>
      <c r="D6" s="833">
        <v>1379.6980000000001</v>
      </c>
      <c r="E6" s="521">
        <v>134.54430206931522</v>
      </c>
    </row>
    <row r="7" spans="2:13" s="29" customFormat="1" ht="15.75" customHeight="1">
      <c r="B7" s="94" t="s">
        <v>63</v>
      </c>
      <c r="C7" s="832">
        <v>110.233</v>
      </c>
      <c r="D7" s="833">
        <v>1413.644</v>
      </c>
      <c r="E7" s="521">
        <v>128.24145219671061</v>
      </c>
    </row>
    <row r="8" spans="2:13" s="29" customFormat="1" ht="15.75" customHeight="1">
      <c r="B8" s="94" t="s">
        <v>65</v>
      </c>
      <c r="C8" s="832">
        <v>106.34699999999999</v>
      </c>
      <c r="D8" s="833">
        <v>1411.057</v>
      </c>
      <c r="E8" s="521">
        <v>132.68423180719719</v>
      </c>
      <c r="F8" s="274"/>
      <c r="G8" s="274"/>
      <c r="H8" s="274"/>
    </row>
    <row r="9" spans="2:13" s="29" customFormat="1" ht="15.75" customHeight="1">
      <c r="B9" s="94" t="s">
        <v>69</v>
      </c>
      <c r="C9" s="832">
        <v>92.378</v>
      </c>
      <c r="D9" s="833">
        <v>1115.732</v>
      </c>
      <c r="E9" s="521">
        <v>120.77897334863279</v>
      </c>
      <c r="F9" s="274"/>
      <c r="G9" s="274"/>
      <c r="H9" s="274"/>
    </row>
    <row r="10" spans="2:13" s="29" customFormat="1" ht="15.75" customHeight="1">
      <c r="B10" s="94" t="s">
        <v>108</v>
      </c>
      <c r="C10" s="832">
        <v>117.6</v>
      </c>
      <c r="D10" s="833">
        <v>1517.8920000000001</v>
      </c>
      <c r="E10" s="521">
        <v>129.07244897959185</v>
      </c>
      <c r="F10" s="274"/>
      <c r="G10" s="274"/>
      <c r="H10" s="274"/>
    </row>
    <row r="11" spans="2:13" s="29" customFormat="1" ht="15.75" customHeight="1">
      <c r="B11" s="94" t="s">
        <v>158</v>
      </c>
      <c r="C11" s="834">
        <v>92.536000000000001</v>
      </c>
      <c r="D11" s="833">
        <v>1149.0391</v>
      </c>
      <c r="E11" s="521">
        <v>124.1721167977868</v>
      </c>
      <c r="F11" s="274"/>
      <c r="G11" s="274"/>
      <c r="H11" s="274"/>
    </row>
    <row r="12" spans="2:13" ht="15.75" customHeight="1">
      <c r="B12" s="94" t="s">
        <v>363</v>
      </c>
      <c r="C12" s="834">
        <v>86.421000000000006</v>
      </c>
      <c r="D12" s="833">
        <v>1039.675</v>
      </c>
      <c r="E12" s="521">
        <v>120.30351419215236</v>
      </c>
      <c r="F12" s="274"/>
      <c r="G12" s="575"/>
      <c r="H12" s="274"/>
      <c r="I12" s="49"/>
      <c r="J12" s="275"/>
      <c r="K12" s="275"/>
      <c r="L12" s="276"/>
      <c r="M12" s="49"/>
    </row>
    <row r="13" spans="2:13" ht="15" customHeight="1">
      <c r="B13" s="94" t="s">
        <v>449</v>
      </c>
      <c r="C13" s="834">
        <v>81.597999999999999</v>
      </c>
      <c r="D13" s="833">
        <v>1087.9098671827173</v>
      </c>
      <c r="E13" s="522">
        <v>133.32555542816215</v>
      </c>
      <c r="F13" s="274"/>
      <c r="G13" s="274"/>
      <c r="H13" s="274"/>
      <c r="I13" s="49"/>
      <c r="J13" s="275"/>
      <c r="K13" s="275"/>
      <c r="L13" s="276"/>
      <c r="M13" s="49"/>
    </row>
    <row r="14" spans="2:13" ht="15" customHeight="1">
      <c r="B14" s="94" t="s">
        <v>474</v>
      </c>
      <c r="C14" s="834">
        <v>73.856999999999999</v>
      </c>
      <c r="D14" s="833">
        <v>951.06949999999995</v>
      </c>
      <c r="E14" s="522">
        <v>128.77174810782998</v>
      </c>
      <c r="F14" s="274"/>
      <c r="I14" s="49"/>
      <c r="J14" s="275"/>
      <c r="K14" s="275"/>
      <c r="L14" s="276"/>
      <c r="M14" s="49"/>
    </row>
    <row r="15" spans="2:13" ht="15" customHeight="1">
      <c r="B15" s="94" t="s">
        <v>614</v>
      </c>
      <c r="C15" s="835">
        <v>54.679000000000002</v>
      </c>
      <c r="D15" s="833">
        <v>565.88379999999995</v>
      </c>
      <c r="E15" s="757">
        <f>D15/C15*10</f>
        <v>103.49198046782128</v>
      </c>
      <c r="F15" s="274"/>
      <c r="G15" s="274"/>
      <c r="H15" s="274"/>
      <c r="I15" s="49"/>
      <c r="J15" s="275"/>
      <c r="K15" s="275"/>
      <c r="L15" s="276"/>
      <c r="M15" s="49"/>
    </row>
    <row r="16" spans="2:13" ht="29.1" customHeight="1">
      <c r="B16" s="1273" t="s">
        <v>625</v>
      </c>
      <c r="C16" s="1273"/>
      <c r="D16" s="1273"/>
      <c r="E16" s="1273"/>
      <c r="F16" s="274"/>
      <c r="G16" s="274"/>
      <c r="H16" s="274"/>
    </row>
    <row r="17" spans="7:7" ht="12.75" customHeight="1">
      <c r="G17" s="577"/>
    </row>
    <row r="18" spans="7:7" ht="12.75" customHeight="1"/>
    <row r="19" spans="7:7" ht="12.75" customHeight="1"/>
    <row r="20" spans="7:7" ht="12.75" customHeight="1"/>
    <row r="21" spans="7:7" ht="12.75" customHeight="1">
      <c r="G21" s="575"/>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72"/>
      <c r="C34" s="1272"/>
      <c r="D34" s="1272"/>
      <c r="E34" s="1272"/>
    </row>
    <row r="35" spans="2:5" ht="14.45" customHeight="1">
      <c r="B35" s="1272"/>
      <c r="C35" s="1272"/>
      <c r="D35" s="1272"/>
      <c r="E35" s="1272"/>
    </row>
    <row r="36" spans="2:5" ht="12.75" customHeight="1">
      <c r="B36" s="1271" t="s">
        <v>475</v>
      </c>
      <c r="C36" s="1271"/>
      <c r="D36" s="1271"/>
      <c r="E36" s="1271"/>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pageSetUpPr fitToPage="1"/>
  </sheetPr>
  <dimension ref="B1:L26"/>
  <sheetViews>
    <sheetView zoomScaleNormal="100" zoomScaleSheetLayoutView="50" workbookViewId="0">
      <selection activeCell="F13" sqref="F13"/>
    </sheetView>
  </sheetViews>
  <sheetFormatPr baseColWidth="10" defaultColWidth="10.90625" defaultRowHeight="12.75"/>
  <cols>
    <col min="1" max="1" width="3" style="70" customWidth="1"/>
    <col min="2" max="2" width="12.54296875" style="70" customWidth="1"/>
    <col min="3" max="3" width="12.1796875" style="70" customWidth="1"/>
    <col min="4" max="4" width="10.81640625" style="70" customWidth="1"/>
    <col min="5" max="5" width="7.81640625" style="291" bestFit="1" customWidth="1"/>
    <col min="6" max="10" width="7.08984375" style="291" customWidth="1"/>
    <col min="11" max="13" width="7.08984375" style="70" customWidth="1"/>
    <col min="14" max="14" width="6.6328125" style="70" customWidth="1"/>
    <col min="15" max="15" width="6.54296875" style="70" customWidth="1"/>
    <col min="16" max="16384" width="10.90625" style="70"/>
  </cols>
  <sheetData>
    <row r="1" spans="2:12" s="29" customFormat="1">
      <c r="B1" s="1107" t="s">
        <v>3</v>
      </c>
      <c r="C1" s="1107"/>
      <c r="D1" s="1107"/>
      <c r="E1" s="183"/>
      <c r="F1" s="183"/>
      <c r="G1" s="183"/>
      <c r="H1" s="183"/>
      <c r="I1" s="183"/>
      <c r="J1" s="183"/>
    </row>
    <row r="2" spans="2:12" s="29" customFormat="1">
      <c r="B2" s="30"/>
      <c r="C2" s="30"/>
      <c r="D2" s="30"/>
      <c r="E2" s="183"/>
      <c r="F2" s="183"/>
      <c r="G2" s="183"/>
      <c r="H2" s="183"/>
      <c r="I2" s="183"/>
      <c r="J2" s="183"/>
    </row>
    <row r="3" spans="2:12" s="29" customFormat="1" ht="36.75" customHeight="1">
      <c r="B3" s="1108" t="s">
        <v>202</v>
      </c>
      <c r="C3" s="1107"/>
      <c r="D3" s="1107"/>
      <c r="E3" s="183"/>
      <c r="F3" s="183"/>
      <c r="G3" s="183"/>
      <c r="H3" s="183"/>
      <c r="I3" s="183"/>
      <c r="J3" s="183"/>
    </row>
    <row r="4" spans="2:12" s="29" customFormat="1" ht="15.75" customHeight="1">
      <c r="B4" s="1107" t="s">
        <v>682</v>
      </c>
      <c r="C4" s="1107"/>
      <c r="D4" s="1107"/>
      <c r="E4" s="183"/>
      <c r="F4" s="183"/>
      <c r="G4" s="183"/>
      <c r="H4" s="183"/>
      <c r="I4" s="183"/>
      <c r="J4" s="183"/>
    </row>
    <row r="5" spans="2:12" s="29" customFormat="1" ht="30" customHeight="1">
      <c r="B5" s="272" t="s">
        <v>11</v>
      </c>
      <c r="C5" s="272" t="s">
        <v>12</v>
      </c>
      <c r="D5" s="273" t="s">
        <v>32</v>
      </c>
      <c r="E5" s="183"/>
      <c r="F5" s="183"/>
      <c r="G5" s="183"/>
      <c r="H5" s="183"/>
      <c r="I5" s="183"/>
      <c r="J5" s="183"/>
    </row>
    <row r="6" spans="2:12" ht="15.75" customHeight="1">
      <c r="B6" s="1274" t="s">
        <v>477</v>
      </c>
      <c r="C6" s="855" t="s">
        <v>203</v>
      </c>
      <c r="D6" s="277">
        <v>123</v>
      </c>
      <c r="E6" s="278"/>
      <c r="F6" s="283"/>
      <c r="G6" s="279"/>
      <c r="H6" s="280"/>
      <c r="I6" s="281"/>
      <c r="J6" s="281"/>
      <c r="K6" s="276"/>
      <c r="L6" s="49"/>
    </row>
    <row r="7" spans="2:12" ht="15.75" customHeight="1">
      <c r="B7" s="1274"/>
      <c r="C7" s="855" t="s">
        <v>172</v>
      </c>
      <c r="D7" s="277">
        <v>622</v>
      </c>
      <c r="E7" s="278"/>
      <c r="F7" s="283"/>
      <c r="G7" s="279"/>
      <c r="H7" s="280"/>
      <c r="I7" s="281"/>
      <c r="J7" s="281"/>
      <c r="K7" s="276"/>
      <c r="L7" s="49"/>
    </row>
    <row r="8" spans="2:12" ht="15.75" customHeight="1">
      <c r="B8" s="1274"/>
      <c r="C8" s="855" t="s">
        <v>204</v>
      </c>
      <c r="D8" s="277">
        <v>5023</v>
      </c>
      <c r="E8" s="278"/>
      <c r="F8" s="283"/>
      <c r="G8" s="279"/>
      <c r="H8" s="280"/>
      <c r="I8" s="281"/>
      <c r="J8" s="281"/>
      <c r="K8" s="276"/>
      <c r="L8" s="49"/>
    </row>
    <row r="9" spans="2:12" ht="15.75" customHeight="1">
      <c r="B9" s="1274"/>
      <c r="C9" s="855" t="s">
        <v>205</v>
      </c>
      <c r="D9" s="277">
        <v>33261</v>
      </c>
      <c r="E9" s="278"/>
      <c r="F9" s="283"/>
      <c r="G9" s="279"/>
      <c r="H9" s="280"/>
      <c r="I9" s="281"/>
      <c r="J9" s="281"/>
      <c r="K9" s="276"/>
      <c r="L9" s="49"/>
    </row>
    <row r="10" spans="2:12" ht="15.75" customHeight="1">
      <c r="B10" s="1274"/>
      <c r="C10" s="855" t="s">
        <v>175</v>
      </c>
      <c r="D10" s="277">
        <v>24481</v>
      </c>
      <c r="E10" s="278"/>
      <c r="F10" s="283"/>
      <c r="G10" s="279"/>
      <c r="H10" s="280"/>
      <c r="I10" s="281"/>
      <c r="J10" s="281"/>
      <c r="K10" s="276"/>
      <c r="L10" s="49"/>
    </row>
    <row r="11" spans="2:12" ht="15.75" customHeight="1">
      <c r="B11" s="1274"/>
      <c r="C11" s="855" t="s">
        <v>461</v>
      </c>
      <c r="D11" s="277">
        <v>6866</v>
      </c>
      <c r="E11" s="278"/>
      <c r="F11" s="283"/>
      <c r="G11" s="279"/>
      <c r="H11" s="280"/>
      <c r="I11" s="281"/>
      <c r="J11" s="281"/>
      <c r="K11" s="276"/>
      <c r="L11" s="49"/>
    </row>
    <row r="12" spans="2:12" ht="15.75" customHeight="1">
      <c r="B12" s="1274"/>
      <c r="C12" s="855" t="s">
        <v>176</v>
      </c>
      <c r="D12" s="277">
        <v>9394</v>
      </c>
      <c r="E12" s="278"/>
      <c r="F12" s="283"/>
      <c r="G12" s="279"/>
      <c r="H12" s="280"/>
      <c r="I12" s="281"/>
      <c r="J12" s="281"/>
      <c r="K12" s="276"/>
      <c r="L12" s="49"/>
    </row>
    <row r="13" spans="2:12" ht="15.75" customHeight="1">
      <c r="B13" s="1274"/>
      <c r="C13" s="855" t="s">
        <v>177</v>
      </c>
      <c r="D13" s="277">
        <v>222</v>
      </c>
      <c r="E13" s="278"/>
      <c r="F13" s="283"/>
      <c r="G13" s="284"/>
      <c r="H13" s="280"/>
      <c r="I13" s="281"/>
      <c r="J13" s="281"/>
      <c r="K13" s="276"/>
      <c r="L13" s="49"/>
    </row>
    <row r="14" spans="2:12" ht="15.75" customHeight="1">
      <c r="B14" s="1274"/>
      <c r="C14" s="855" t="s">
        <v>44</v>
      </c>
      <c r="D14" s="277">
        <v>436</v>
      </c>
      <c r="E14" s="278"/>
      <c r="F14" s="283"/>
      <c r="G14" s="284"/>
      <c r="H14" s="280"/>
      <c r="I14" s="281"/>
      <c r="J14" s="281"/>
      <c r="K14" s="276"/>
      <c r="L14" s="49"/>
    </row>
    <row r="15" spans="2:12" ht="15.75" customHeight="1">
      <c r="B15" s="1274"/>
      <c r="C15" s="855" t="s">
        <v>7</v>
      </c>
      <c r="D15" s="854">
        <v>80428</v>
      </c>
      <c r="E15" s="278"/>
      <c r="F15" s="283"/>
      <c r="G15" s="285"/>
      <c r="H15" s="280"/>
      <c r="I15" s="281"/>
      <c r="J15" s="281"/>
      <c r="K15" s="276"/>
      <c r="L15" s="49"/>
    </row>
    <row r="16" spans="2:12" ht="15.75" customHeight="1">
      <c r="B16" s="1274" t="s">
        <v>616</v>
      </c>
      <c r="C16" s="853" t="s">
        <v>203</v>
      </c>
      <c r="D16" s="854">
        <v>105</v>
      </c>
      <c r="E16" s="278"/>
      <c r="F16" s="285"/>
      <c r="G16" s="284"/>
      <c r="H16" s="287"/>
      <c r="I16" s="281"/>
      <c r="J16" s="285"/>
      <c r="K16" s="276"/>
      <c r="L16" s="275"/>
    </row>
    <row r="17" spans="2:12" ht="15.75" customHeight="1">
      <c r="B17" s="1274"/>
      <c r="C17" s="627" t="s">
        <v>172</v>
      </c>
      <c r="D17" s="277">
        <v>643</v>
      </c>
      <c r="E17" s="278"/>
      <c r="F17" s="285"/>
      <c r="G17" s="284"/>
      <c r="H17" s="287"/>
      <c r="I17" s="281"/>
      <c r="J17" s="285"/>
      <c r="K17" s="276"/>
      <c r="L17" s="275"/>
    </row>
    <row r="18" spans="2:12" ht="15.75" customHeight="1">
      <c r="B18" s="1274"/>
      <c r="C18" s="627" t="s">
        <v>204</v>
      </c>
      <c r="D18" s="277">
        <v>4481</v>
      </c>
      <c r="E18" s="278"/>
      <c r="F18" s="285"/>
      <c r="G18" s="284"/>
      <c r="H18" s="287"/>
      <c r="I18" s="281"/>
      <c r="J18" s="285"/>
      <c r="K18" s="276"/>
      <c r="L18" s="275"/>
    </row>
    <row r="19" spans="2:12" ht="15.75" customHeight="1">
      <c r="B19" s="1274"/>
      <c r="C19" s="627" t="s">
        <v>205</v>
      </c>
      <c r="D19" s="277">
        <v>22482</v>
      </c>
      <c r="E19" s="278"/>
      <c r="F19" s="576"/>
      <c r="G19" s="284"/>
      <c r="H19" s="287"/>
      <c r="I19" s="281"/>
      <c r="J19" s="285"/>
      <c r="K19" s="276"/>
      <c r="L19" s="275"/>
    </row>
    <row r="20" spans="2:12" ht="15.75" customHeight="1">
      <c r="B20" s="1274"/>
      <c r="C20" s="627" t="s">
        <v>175</v>
      </c>
      <c r="D20" s="277">
        <v>20660</v>
      </c>
      <c r="E20" s="278"/>
      <c r="F20" s="576"/>
      <c r="G20" s="284"/>
      <c r="H20" s="287"/>
      <c r="I20" s="281"/>
      <c r="J20" s="285"/>
      <c r="K20" s="276"/>
      <c r="L20" s="275"/>
    </row>
    <row r="21" spans="2:12" ht="15.75" customHeight="1">
      <c r="B21" s="1274"/>
      <c r="C21" s="70" t="s">
        <v>461</v>
      </c>
      <c r="D21" s="277">
        <v>6877</v>
      </c>
      <c r="E21" s="278"/>
      <c r="F21" s="576"/>
      <c r="G21" s="284"/>
      <c r="H21" s="287"/>
      <c r="I21" s="281"/>
      <c r="J21" s="285"/>
      <c r="K21" s="276"/>
      <c r="L21" s="275"/>
    </row>
    <row r="22" spans="2:12" ht="15.75" customHeight="1">
      <c r="B22" s="1274"/>
      <c r="C22" s="627" t="s">
        <v>176</v>
      </c>
      <c r="D22" s="277">
        <v>8793</v>
      </c>
      <c r="E22" s="278"/>
      <c r="F22" s="285"/>
      <c r="G22" s="284"/>
      <c r="H22" s="287"/>
      <c r="I22" s="281"/>
      <c r="J22" s="285"/>
      <c r="K22" s="276"/>
      <c r="L22" s="275"/>
    </row>
    <row r="23" spans="2:12" ht="15.75" customHeight="1">
      <c r="B23" s="1274"/>
      <c r="C23" s="627" t="s">
        <v>177</v>
      </c>
      <c r="D23" s="277">
        <v>109</v>
      </c>
      <c r="E23" s="278"/>
      <c r="F23" s="285"/>
      <c r="G23" s="288"/>
      <c r="H23" s="287"/>
      <c r="I23" s="281"/>
      <c r="J23" s="281"/>
      <c r="K23" s="276"/>
      <c r="L23" s="289"/>
    </row>
    <row r="24" spans="2:12" ht="15.75" customHeight="1">
      <c r="B24" s="1274"/>
      <c r="C24" s="627" t="s">
        <v>44</v>
      </c>
      <c r="D24" s="94">
        <v>436</v>
      </c>
      <c r="E24" s="278"/>
      <c r="F24" s="285"/>
      <c r="G24" s="285"/>
      <c r="H24" s="287"/>
      <c r="I24" s="281"/>
      <c r="J24" s="281"/>
      <c r="K24" s="276"/>
      <c r="L24" s="289"/>
    </row>
    <row r="25" spans="2:12" ht="17.25" customHeight="1">
      <c r="B25" s="1275"/>
      <c r="C25" s="628" t="s">
        <v>7</v>
      </c>
      <c r="D25" s="629">
        <f>SUM(D16:D24)</f>
        <v>64586</v>
      </c>
      <c r="E25" s="290"/>
      <c r="F25" s="290"/>
      <c r="G25" s="290"/>
      <c r="H25" s="290"/>
      <c r="I25" s="290"/>
      <c r="J25" s="290"/>
      <c r="K25" s="56"/>
      <c r="L25" s="289"/>
    </row>
    <row r="26" spans="2:12" ht="36" customHeight="1">
      <c r="B26" s="1112" t="s">
        <v>598</v>
      </c>
      <c r="C26" s="1113"/>
      <c r="D26" s="1114"/>
      <c r="E26" s="630"/>
      <c r="F26" s="630"/>
    </row>
  </sheetData>
  <mergeCells count="6">
    <mergeCell ref="B26:D26"/>
    <mergeCell ref="B1:D1"/>
    <mergeCell ref="B3:D3"/>
    <mergeCell ref="B4:D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pageSetUpPr fitToPage="1"/>
  </sheetPr>
  <dimension ref="B1:Q26"/>
  <sheetViews>
    <sheetView zoomScaleNormal="100" zoomScaleSheetLayoutView="50" workbookViewId="0">
      <selection activeCell="E25" sqref="E25"/>
    </sheetView>
  </sheetViews>
  <sheetFormatPr baseColWidth="10" defaultColWidth="10.90625" defaultRowHeight="12.75"/>
  <cols>
    <col min="1" max="1" width="1.7265625" style="70" customWidth="1"/>
    <col min="2" max="2" width="9" style="70" customWidth="1"/>
    <col min="3" max="3" width="12.1796875" style="70" customWidth="1"/>
    <col min="4" max="5" width="10.81640625" style="70" customWidth="1"/>
    <col min="6" max="6" width="13.90625" style="70" customWidth="1"/>
    <col min="7" max="7" width="10.90625" style="291" customWidth="1"/>
    <col min="8" max="11" width="10.90625" style="70" customWidth="1"/>
    <col min="12" max="14" width="10.90625" style="293" customWidth="1"/>
    <col min="15" max="16" width="10.90625" style="70" customWidth="1"/>
    <col min="17" max="16384" width="10.90625" style="70"/>
  </cols>
  <sheetData>
    <row r="1" spans="2:17" s="29" customFormat="1">
      <c r="B1" s="1107" t="s">
        <v>37</v>
      </c>
      <c r="C1" s="1107"/>
      <c r="D1" s="1107"/>
      <c r="E1" s="1107"/>
      <c r="F1" s="1107"/>
      <c r="G1" s="183"/>
      <c r="L1" s="292"/>
      <c r="M1" s="292"/>
      <c r="N1" s="292"/>
    </row>
    <row r="2" spans="2:17" s="29" customFormat="1">
      <c r="B2" s="30"/>
      <c r="C2" s="30"/>
      <c r="D2" s="30"/>
      <c r="E2" s="30"/>
      <c r="F2" s="30"/>
      <c r="G2" s="183"/>
      <c r="L2" s="292"/>
      <c r="M2" s="292"/>
      <c r="N2" s="292"/>
    </row>
    <row r="3" spans="2:17" s="29" customFormat="1" ht="29.25" customHeight="1">
      <c r="B3" s="1108" t="s">
        <v>206</v>
      </c>
      <c r="C3" s="1107"/>
      <c r="D3" s="1107"/>
      <c r="E3" s="1107"/>
      <c r="F3" s="1107"/>
      <c r="G3" s="183"/>
      <c r="L3" s="292"/>
      <c r="M3" s="292"/>
      <c r="N3" s="292"/>
    </row>
    <row r="4" spans="2:17" s="29" customFormat="1" ht="17.25" customHeight="1">
      <c r="B4" s="1107" t="s">
        <v>615</v>
      </c>
      <c r="C4" s="1107"/>
      <c r="D4" s="1107"/>
      <c r="E4" s="1107"/>
      <c r="F4" s="1107"/>
      <c r="G4" s="183"/>
      <c r="L4" s="292"/>
      <c r="M4" s="292"/>
      <c r="N4" s="292"/>
    </row>
    <row r="5" spans="2:17" s="29" customFormat="1" ht="30" customHeight="1">
      <c r="B5" s="238" t="s">
        <v>11</v>
      </c>
      <c r="C5" s="272" t="s">
        <v>12</v>
      </c>
      <c r="D5" s="273" t="s">
        <v>32</v>
      </c>
      <c r="E5" s="273" t="s">
        <v>30</v>
      </c>
      <c r="F5" s="273" t="s">
        <v>31</v>
      </c>
      <c r="G5" s="183"/>
      <c r="L5" s="292"/>
      <c r="M5" s="292"/>
      <c r="N5" s="292"/>
    </row>
    <row r="6" spans="2:17" ht="15.75" customHeight="1">
      <c r="B6" s="1275" t="s">
        <v>474</v>
      </c>
      <c r="C6" s="631" t="s">
        <v>203</v>
      </c>
      <c r="D6" s="637">
        <v>123</v>
      </c>
      <c r="E6" s="638">
        <v>599.79999999999995</v>
      </c>
      <c r="F6" s="639">
        <f>E6/D6*10</f>
        <v>48.764227642276417</v>
      </c>
      <c r="G6" s="278"/>
      <c r="H6" s="294"/>
      <c r="I6" s="295"/>
      <c r="J6" s="295"/>
      <c r="K6" s="295"/>
    </row>
    <row r="7" spans="2:17" ht="15.75" customHeight="1">
      <c r="B7" s="1277"/>
      <c r="C7" s="631" t="s">
        <v>172</v>
      </c>
      <c r="D7" s="637">
        <v>622</v>
      </c>
      <c r="E7" s="638">
        <v>7728.6</v>
      </c>
      <c r="F7" s="639">
        <f t="shared" ref="F7:F15" si="0">E7/D7*10</f>
        <v>124.25401929260451</v>
      </c>
      <c r="G7" s="278"/>
      <c r="H7" s="294"/>
      <c r="I7" s="295"/>
      <c r="J7" s="295"/>
      <c r="K7" s="295"/>
    </row>
    <row r="8" spans="2:17" ht="15.75" customHeight="1">
      <c r="B8" s="1277"/>
      <c r="C8" s="631" t="s">
        <v>204</v>
      </c>
      <c r="D8" s="637">
        <v>4065</v>
      </c>
      <c r="E8" s="638">
        <v>54555</v>
      </c>
      <c r="F8" s="639">
        <f t="shared" si="0"/>
        <v>134.20664206642067</v>
      </c>
      <c r="G8" s="278"/>
      <c r="H8" s="294"/>
      <c r="I8" s="295"/>
      <c r="J8" s="295"/>
      <c r="K8" s="295"/>
    </row>
    <row r="9" spans="2:17" ht="15.75" customHeight="1">
      <c r="B9" s="1277"/>
      <c r="C9" s="631" t="s">
        <v>205</v>
      </c>
      <c r="D9" s="637">
        <v>30933</v>
      </c>
      <c r="E9" s="638">
        <v>409157</v>
      </c>
      <c r="F9" s="639">
        <f t="shared" si="0"/>
        <v>132.27200724145735</v>
      </c>
      <c r="G9" s="278"/>
      <c r="H9" s="298"/>
      <c r="I9" s="295"/>
      <c r="J9" s="295"/>
      <c r="K9" s="295"/>
    </row>
    <row r="10" spans="2:17" ht="15.75" customHeight="1">
      <c r="B10" s="1277"/>
      <c r="C10" s="631" t="s">
        <v>175</v>
      </c>
      <c r="D10" s="637">
        <v>22114</v>
      </c>
      <c r="E10" s="638">
        <v>276288.2</v>
      </c>
      <c r="F10" s="639">
        <f t="shared" si="0"/>
        <v>124.93813873564258</v>
      </c>
      <c r="G10" s="278"/>
      <c r="H10" s="298"/>
      <c r="I10" s="295"/>
      <c r="J10" s="295"/>
      <c r="K10" s="295"/>
    </row>
    <row r="11" spans="2:17" ht="15.75" customHeight="1">
      <c r="B11" s="1277"/>
      <c r="C11" s="70" t="s">
        <v>461</v>
      </c>
      <c r="D11" s="637">
        <v>6494</v>
      </c>
      <c r="E11" s="638">
        <v>87160.6</v>
      </c>
      <c r="F11" s="639">
        <f t="shared" si="0"/>
        <v>134.21712349861411</v>
      </c>
      <c r="G11" s="278"/>
      <c r="H11" s="298"/>
      <c r="I11" s="295"/>
      <c r="J11" s="295"/>
      <c r="K11" s="295"/>
    </row>
    <row r="12" spans="2:17" ht="15.75" customHeight="1">
      <c r="B12" s="1277"/>
      <c r="C12" s="631" t="s">
        <v>176</v>
      </c>
      <c r="D12" s="637">
        <v>8899</v>
      </c>
      <c r="E12" s="638">
        <v>110983.6</v>
      </c>
      <c r="F12" s="639">
        <f t="shared" si="0"/>
        <v>124.71468704348803</v>
      </c>
      <c r="G12" s="278"/>
      <c r="H12" s="466"/>
      <c r="I12" s="467"/>
      <c r="J12" s="467"/>
      <c r="K12" s="467"/>
      <c r="L12" s="468"/>
      <c r="M12" s="468"/>
      <c r="N12" s="468"/>
      <c r="O12" s="468"/>
      <c r="P12" s="468"/>
      <c r="Q12" s="468"/>
    </row>
    <row r="13" spans="2:17" ht="15.75" customHeight="1">
      <c r="B13" s="1277"/>
      <c r="C13" s="631" t="s">
        <v>177</v>
      </c>
      <c r="D13" s="637">
        <v>222</v>
      </c>
      <c r="E13" s="638">
        <v>3330</v>
      </c>
      <c r="F13" s="639">
        <f t="shared" si="0"/>
        <v>150</v>
      </c>
      <c r="G13" s="278"/>
      <c r="H13" s="466"/>
      <c r="I13" s="467"/>
      <c r="J13" s="467"/>
      <c r="K13" s="467"/>
      <c r="L13" s="468"/>
      <c r="M13" s="468"/>
      <c r="N13" s="468"/>
      <c r="O13" s="468"/>
      <c r="P13" s="468"/>
      <c r="Q13" s="468"/>
    </row>
    <row r="14" spans="2:17" ht="15.75" customHeight="1">
      <c r="B14" s="1277"/>
      <c r="C14" s="631" t="s">
        <v>44</v>
      </c>
      <c r="D14" s="637">
        <v>385</v>
      </c>
      <c r="E14" s="638">
        <v>1266.7</v>
      </c>
      <c r="F14" s="639">
        <f t="shared" si="0"/>
        <v>32.9012987012987</v>
      </c>
      <c r="G14" s="278"/>
      <c r="H14" s="466"/>
      <c r="I14" s="467"/>
      <c r="J14" s="467"/>
      <c r="K14" s="467"/>
      <c r="L14" s="468"/>
      <c r="M14" s="468"/>
      <c r="N14" s="468"/>
      <c r="O14" s="468"/>
      <c r="P14" s="468"/>
      <c r="Q14" s="468"/>
    </row>
    <row r="15" spans="2:17" ht="15.75" customHeight="1">
      <c r="B15" s="1278"/>
      <c r="C15" s="631" t="s">
        <v>7</v>
      </c>
      <c r="D15" s="637">
        <v>73857</v>
      </c>
      <c r="E15" s="638">
        <v>951069.5</v>
      </c>
      <c r="F15" s="639">
        <f t="shared" si="0"/>
        <v>128.77174810783001</v>
      </c>
      <c r="G15" s="278"/>
      <c r="H15" s="466"/>
      <c r="I15" s="469"/>
      <c r="J15" s="467"/>
      <c r="K15" s="467"/>
      <c r="L15" s="468"/>
      <c r="M15" s="468"/>
      <c r="N15" s="468"/>
      <c r="O15" s="468"/>
      <c r="P15" s="468"/>
      <c r="Q15" s="468"/>
    </row>
    <row r="16" spans="2:17" ht="15.75" customHeight="1">
      <c r="B16" s="1275" t="s">
        <v>614</v>
      </c>
      <c r="C16" s="631" t="s">
        <v>203</v>
      </c>
      <c r="D16" s="638">
        <v>105</v>
      </c>
      <c r="E16" s="638">
        <f>4161/10</f>
        <v>416.1</v>
      </c>
      <c r="F16" s="639">
        <v>39.628571428571426</v>
      </c>
      <c r="G16" s="296"/>
      <c r="H16" s="466"/>
      <c r="I16" s="469"/>
      <c r="J16" s="467"/>
      <c r="K16" s="469"/>
      <c r="L16" s="470"/>
      <c r="M16" s="471"/>
      <c r="N16" s="472"/>
      <c r="O16" s="468"/>
      <c r="P16" s="468"/>
      <c r="Q16" s="468"/>
    </row>
    <row r="17" spans="2:17" ht="15.75" customHeight="1">
      <c r="B17" s="1277"/>
      <c r="C17" s="631" t="s">
        <v>172</v>
      </c>
      <c r="D17" s="638">
        <v>643</v>
      </c>
      <c r="E17" s="638">
        <f>4954/10</f>
        <v>495.4</v>
      </c>
      <c r="F17" s="639">
        <v>7.7045101088646968</v>
      </c>
      <c r="G17" s="296"/>
      <c r="H17" s="466"/>
      <c r="I17" s="469"/>
      <c r="J17" s="467"/>
      <c r="K17" s="469"/>
      <c r="L17" s="470"/>
      <c r="M17" s="471"/>
      <c r="N17" s="472"/>
      <c r="O17" s="468"/>
      <c r="P17" s="468"/>
      <c r="Q17" s="468"/>
    </row>
    <row r="18" spans="2:17" ht="15.75" customHeight="1">
      <c r="B18" s="1277"/>
      <c r="C18" s="631" t="s">
        <v>204</v>
      </c>
      <c r="D18" s="638">
        <v>3608</v>
      </c>
      <c r="E18" s="638">
        <f>240756/10</f>
        <v>24075.599999999999</v>
      </c>
      <c r="F18" s="639">
        <v>66.728381374722844</v>
      </c>
      <c r="G18" s="296"/>
      <c r="H18" s="466"/>
      <c r="I18" s="469"/>
      <c r="J18" s="467"/>
      <c r="K18" s="469"/>
      <c r="L18" s="470"/>
      <c r="M18" s="471"/>
      <c r="N18" s="472"/>
      <c r="O18" s="468"/>
      <c r="P18" s="468"/>
      <c r="Q18" s="468"/>
    </row>
    <row r="19" spans="2:17" ht="15.75" customHeight="1">
      <c r="B19" s="1277"/>
      <c r="C19" s="631" t="s">
        <v>205</v>
      </c>
      <c r="D19" s="638">
        <v>19962</v>
      </c>
      <c r="E19" s="638">
        <f>1919762/10</f>
        <v>191976.2</v>
      </c>
      <c r="F19" s="639">
        <v>96.170824566676686</v>
      </c>
      <c r="G19" s="296"/>
      <c r="H19" s="466"/>
      <c r="I19" s="469"/>
      <c r="J19" s="467"/>
      <c r="K19" s="469"/>
      <c r="L19" s="470"/>
      <c r="M19" s="471"/>
      <c r="N19" s="472"/>
      <c r="O19" s="468"/>
      <c r="P19" s="468"/>
      <c r="Q19" s="468"/>
    </row>
    <row r="20" spans="2:17" ht="15.75" customHeight="1">
      <c r="B20" s="1277"/>
      <c r="C20" s="631" t="s">
        <v>175</v>
      </c>
      <c r="D20" s="638">
        <v>15580</v>
      </c>
      <c r="E20" s="638">
        <f>1711689/10</f>
        <v>171168.9</v>
      </c>
      <c r="F20" s="639">
        <v>109.86450577663672</v>
      </c>
      <c r="G20" s="296"/>
      <c r="H20" s="298"/>
      <c r="I20" s="296"/>
      <c r="J20" s="295"/>
      <c r="K20" s="296"/>
      <c r="L20" s="299"/>
      <c r="M20" s="300"/>
      <c r="N20" s="301"/>
    </row>
    <row r="21" spans="2:17" ht="15.75" customHeight="1">
      <c r="B21" s="1277"/>
      <c r="C21" s="70" t="s">
        <v>461</v>
      </c>
      <c r="D21" s="638">
        <v>5999</v>
      </c>
      <c r="E21" s="638">
        <f>729980/10</f>
        <v>72998</v>
      </c>
      <c r="F21" s="639">
        <v>121.68361393565594</v>
      </c>
      <c r="G21" s="296"/>
      <c r="H21" s="298"/>
      <c r="I21" s="296"/>
      <c r="J21" s="295"/>
      <c r="K21" s="296"/>
      <c r="L21" s="299"/>
      <c r="M21" s="300"/>
      <c r="N21" s="301"/>
    </row>
    <row r="22" spans="2:17" ht="15.75" customHeight="1">
      <c r="B22" s="1277"/>
      <c r="C22" s="631" t="s">
        <v>176</v>
      </c>
      <c r="D22" s="638">
        <v>8288</v>
      </c>
      <c r="E22" s="638">
        <f>1022879/10</f>
        <v>102287.9</v>
      </c>
      <c r="F22" s="639">
        <v>123.41686776061776</v>
      </c>
      <c r="G22" s="296"/>
      <c r="H22" s="298"/>
      <c r="I22" s="296"/>
      <c r="J22" s="295"/>
      <c r="K22" s="296"/>
      <c r="L22" s="299"/>
      <c r="M22" s="300"/>
      <c r="N22" s="301"/>
    </row>
    <row r="23" spans="2:17" ht="15.75" customHeight="1">
      <c r="B23" s="1277"/>
      <c r="C23" s="631" t="s">
        <v>177</v>
      </c>
      <c r="D23" s="638">
        <v>109</v>
      </c>
      <c r="E23" s="638">
        <f>11990/10</f>
        <v>1199</v>
      </c>
      <c r="F23" s="639">
        <v>110</v>
      </c>
      <c r="G23" s="296"/>
      <c r="H23" s="298"/>
      <c r="I23" s="296"/>
      <c r="J23" s="295"/>
      <c r="K23" s="296"/>
      <c r="L23" s="299"/>
      <c r="M23" s="300"/>
      <c r="N23" s="301"/>
    </row>
    <row r="24" spans="2:17" ht="15.75" customHeight="1">
      <c r="B24" s="1277"/>
      <c r="C24" s="631" t="s">
        <v>44</v>
      </c>
      <c r="D24" s="638">
        <v>385</v>
      </c>
      <c r="E24" s="638">
        <f>12667/10</f>
        <v>1266.7</v>
      </c>
      <c r="F24" s="639">
        <v>32.9012987012987</v>
      </c>
      <c r="G24" s="296"/>
      <c r="H24" s="298"/>
      <c r="I24" s="296"/>
      <c r="J24" s="295"/>
      <c r="K24" s="296"/>
      <c r="L24" s="299"/>
      <c r="M24" s="300"/>
      <c r="N24" s="301"/>
    </row>
    <row r="25" spans="2:17" ht="18.75" customHeight="1">
      <c r="B25" s="1278"/>
      <c r="C25" s="631" t="s">
        <v>7</v>
      </c>
      <c r="D25" s="638">
        <f>SUM(D16:D24)</f>
        <v>54679</v>
      </c>
      <c r="E25" s="638">
        <f>SUM(E16:E24)</f>
        <v>565883.79999999993</v>
      </c>
      <c r="F25" s="639">
        <f t="shared" ref="F25" si="1">E25/D25*10</f>
        <v>103.49198046782128</v>
      </c>
      <c r="G25" s="296"/>
      <c r="H25" s="296"/>
      <c r="I25" s="296"/>
      <c r="J25" s="296"/>
      <c r="K25" s="296"/>
    </row>
    <row r="26" spans="2:17" ht="25.5" customHeight="1">
      <c r="B26" s="1276" t="s">
        <v>626</v>
      </c>
      <c r="C26" s="1276"/>
      <c r="D26" s="1276"/>
      <c r="E26" s="1276"/>
      <c r="F26" s="1276"/>
      <c r="G26" s="296"/>
      <c r="H26" s="636"/>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 sqref="E16:E23"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pageSetUpPr fitToPage="1"/>
  </sheetPr>
  <dimension ref="B1:J34"/>
  <sheetViews>
    <sheetView zoomScaleNormal="100" workbookViewId="0">
      <selection activeCell="E35" sqref="E35"/>
    </sheetView>
  </sheetViews>
  <sheetFormatPr baseColWidth="10" defaultRowHeight="16.5" customHeight="1"/>
  <cols>
    <col min="1" max="1" width="3.08984375" customWidth="1"/>
    <col min="2" max="2" width="23.08984375" customWidth="1"/>
    <col min="3" max="5" width="10.6328125" customWidth="1"/>
    <col min="6" max="10" width="10.90625" style="303" customWidth="1"/>
  </cols>
  <sheetData>
    <row r="1" spans="2:7" ht="16.5" customHeight="1">
      <c r="B1" s="1107" t="s">
        <v>74</v>
      </c>
      <c r="C1" s="1107"/>
      <c r="D1" s="1107"/>
      <c r="E1" s="1107"/>
      <c r="F1" s="302"/>
    </row>
    <row r="2" spans="2:7" ht="16.5" customHeight="1">
      <c r="B2" s="59"/>
      <c r="C2" s="59"/>
      <c r="D2" s="59"/>
      <c r="E2" s="59"/>
      <c r="F2" s="302"/>
    </row>
    <row r="3" spans="2:7" ht="16.5" customHeight="1">
      <c r="B3" s="1142" t="s">
        <v>207</v>
      </c>
      <c r="C3" s="1143"/>
      <c r="D3" s="1143"/>
      <c r="E3" s="1143"/>
    </row>
    <row r="4" spans="2:7" ht="16.5" customHeight="1">
      <c r="B4" s="1279" t="s">
        <v>490</v>
      </c>
      <c r="C4" s="1144"/>
      <c r="D4" s="1144"/>
      <c r="E4" s="1144"/>
    </row>
    <row r="5" spans="2:7" ht="16.5" customHeight="1">
      <c r="B5" s="1280"/>
      <c r="C5" s="1280"/>
      <c r="D5" s="1280"/>
      <c r="E5" s="1280"/>
    </row>
    <row r="6" spans="2:7" ht="16.5" customHeight="1">
      <c r="G6" s="304"/>
    </row>
    <row r="7" spans="2:7" ht="15.75" customHeight="1">
      <c r="B7" s="1125" t="s">
        <v>12</v>
      </c>
      <c r="C7" s="1125"/>
      <c r="D7" s="1281" t="s">
        <v>205</v>
      </c>
      <c r="E7" s="1281"/>
      <c r="G7" s="305"/>
    </row>
    <row r="8" spans="2:7" ht="15.75" customHeight="1">
      <c r="B8" s="1125" t="s">
        <v>208</v>
      </c>
      <c r="C8" s="1125"/>
      <c r="D8" s="681">
        <v>180</v>
      </c>
      <c r="E8" s="681">
        <v>150</v>
      </c>
      <c r="G8" s="305"/>
    </row>
    <row r="9" spans="2:7" ht="15.75" customHeight="1">
      <c r="B9" s="1125" t="s">
        <v>209</v>
      </c>
      <c r="C9" s="1125"/>
      <c r="D9" s="1283">
        <v>16630</v>
      </c>
      <c r="E9" s="1283"/>
      <c r="G9" s="307"/>
    </row>
    <row r="10" spans="2:7" ht="15.75" customHeight="1">
      <c r="B10" s="1282"/>
      <c r="C10" s="1282"/>
      <c r="D10" s="1282"/>
      <c r="E10" s="1282"/>
      <c r="G10" s="307"/>
    </row>
    <row r="11" spans="2:7" ht="15.75" customHeight="1">
      <c r="B11" s="1125" t="s">
        <v>164</v>
      </c>
      <c r="C11" s="1125"/>
      <c r="D11" s="1281" t="s">
        <v>210</v>
      </c>
      <c r="E11" s="1281"/>
      <c r="G11" s="308"/>
    </row>
    <row r="12" spans="2:7" ht="15.75" customHeight="1">
      <c r="B12" s="1125" t="s">
        <v>97</v>
      </c>
      <c r="C12" s="1125"/>
      <c r="D12" s="669">
        <v>152000</v>
      </c>
      <c r="E12" s="669">
        <v>120000</v>
      </c>
      <c r="G12" s="309"/>
    </row>
    <row r="13" spans="2:7" ht="15.75" customHeight="1">
      <c r="B13" s="1125" t="s">
        <v>98</v>
      </c>
      <c r="C13" s="1125"/>
      <c r="D13" s="669">
        <v>335000</v>
      </c>
      <c r="E13" s="669">
        <v>320000</v>
      </c>
      <c r="G13" s="309"/>
    </row>
    <row r="14" spans="2:7" ht="15.75" customHeight="1">
      <c r="B14" s="1125" t="s">
        <v>72</v>
      </c>
      <c r="C14" s="1125"/>
      <c r="D14" s="669">
        <v>981100</v>
      </c>
      <c r="E14" s="669">
        <v>772975</v>
      </c>
      <c r="G14" s="309"/>
    </row>
    <row r="15" spans="2:7" ht="15.75" customHeight="1">
      <c r="B15" s="1127" t="s">
        <v>211</v>
      </c>
      <c r="C15" s="1127"/>
      <c r="D15" s="669">
        <f>660490+73405</f>
        <v>733895</v>
      </c>
      <c r="E15" s="669">
        <f>640779+60649</f>
        <v>701428</v>
      </c>
      <c r="G15" s="309"/>
    </row>
    <row r="16" spans="2:7" ht="15.75" customHeight="1">
      <c r="B16" s="1125" t="s">
        <v>99</v>
      </c>
      <c r="C16" s="1125"/>
      <c r="D16" s="669">
        <f>SUM(D12:D15)</f>
        <v>2201995</v>
      </c>
      <c r="E16" s="669">
        <f>SUM(E12:E15)</f>
        <v>1914403</v>
      </c>
      <c r="G16" s="310"/>
    </row>
    <row r="17" spans="2:7" ht="15.75" customHeight="1">
      <c r="B17" s="1135" t="s">
        <v>212</v>
      </c>
      <c r="C17" s="1135"/>
      <c r="D17" s="669">
        <f>$B$23*D8</f>
        <v>2993400</v>
      </c>
      <c r="E17" s="669">
        <f>$B$23*E8</f>
        <v>2494500</v>
      </c>
      <c r="G17" s="311"/>
    </row>
    <row r="18" spans="2:7" ht="15.75" customHeight="1">
      <c r="B18" s="1135" t="s">
        <v>73</v>
      </c>
      <c r="C18" s="1135"/>
      <c r="D18" s="669">
        <f>D17-D16</f>
        <v>791405</v>
      </c>
      <c r="E18" s="669">
        <f>E17-E16</f>
        <v>580097</v>
      </c>
      <c r="G18" s="311"/>
    </row>
    <row r="19" spans="2:7" ht="16.5" customHeight="1">
      <c r="B19" s="1137" t="s">
        <v>213</v>
      </c>
      <c r="C19" s="1137"/>
      <c r="D19" s="1137"/>
      <c r="E19" s="1137"/>
      <c r="G19" s="312"/>
    </row>
    <row r="20" spans="2:7" ht="16.5" customHeight="1">
      <c r="B20" s="313" t="s">
        <v>174</v>
      </c>
      <c r="C20" s="1137" t="s">
        <v>214</v>
      </c>
      <c r="D20" s="1137"/>
      <c r="E20" s="1137"/>
      <c r="G20" s="312"/>
    </row>
    <row r="21" spans="2:7" ht="30" customHeight="1">
      <c r="B21" s="314" t="s">
        <v>215</v>
      </c>
      <c r="C21" s="315">
        <v>135</v>
      </c>
      <c r="D21" s="315">
        <v>150</v>
      </c>
      <c r="E21" s="315">
        <v>165</v>
      </c>
      <c r="G21" s="316"/>
    </row>
    <row r="22" spans="2:7" ht="15.75" customHeight="1">
      <c r="B22" s="317">
        <f>B23*0.9</f>
        <v>14967</v>
      </c>
      <c r="C22" s="89">
        <f t="shared" ref="C22:E24" si="0">(C$21*$B22)-$E$16</f>
        <v>106142</v>
      </c>
      <c r="D22" s="89">
        <f t="shared" si="0"/>
        <v>330647</v>
      </c>
      <c r="E22" s="89">
        <f t="shared" si="0"/>
        <v>555152</v>
      </c>
      <c r="G22" s="318"/>
    </row>
    <row r="23" spans="2:7" ht="15.75" customHeight="1">
      <c r="B23" s="317">
        <v>16630</v>
      </c>
      <c r="C23" s="89">
        <f t="shared" si="0"/>
        <v>330647</v>
      </c>
      <c r="D23" s="89">
        <f t="shared" si="0"/>
        <v>580097</v>
      </c>
      <c r="E23" s="89">
        <f t="shared" si="0"/>
        <v>829547</v>
      </c>
      <c r="G23" s="318"/>
    </row>
    <row r="24" spans="2:7" ht="15.75" customHeight="1">
      <c r="B24" s="317">
        <f>B23*1.1</f>
        <v>18293</v>
      </c>
      <c r="C24" s="89">
        <f t="shared" si="0"/>
        <v>555152</v>
      </c>
      <c r="D24" s="89">
        <f t="shared" si="0"/>
        <v>829547</v>
      </c>
      <c r="E24" s="89">
        <f t="shared" si="0"/>
        <v>1103942</v>
      </c>
      <c r="G24" s="318"/>
    </row>
    <row r="25" spans="2:7" ht="15.75" customHeight="1">
      <c r="B25" s="90" t="s">
        <v>216</v>
      </c>
      <c r="C25" s="89">
        <f>$E$16/C21</f>
        <v>14180.762962962963</v>
      </c>
      <c r="D25" s="89">
        <f>$E$16/D21</f>
        <v>12762.686666666666</v>
      </c>
      <c r="E25" s="89">
        <f>$E$16/E21</f>
        <v>11602.442424242425</v>
      </c>
      <c r="G25" s="319"/>
    </row>
    <row r="26" spans="2:7" ht="31.5" customHeight="1">
      <c r="B26" s="1169" t="s">
        <v>169</v>
      </c>
      <c r="C26" s="1169"/>
      <c r="D26" s="1169"/>
      <c r="E26" s="1169"/>
      <c r="G26" s="320"/>
    </row>
    <row r="27" spans="2:7" ht="15.75" customHeight="1">
      <c r="B27" s="1286"/>
      <c r="C27" s="1286"/>
      <c r="D27" s="1286"/>
      <c r="E27" s="1286"/>
      <c r="G27" s="320"/>
    </row>
    <row r="28" spans="2:7" ht="15.75" customHeight="1">
      <c r="B28" s="1287" t="s">
        <v>438</v>
      </c>
      <c r="C28" s="1287"/>
      <c r="D28" s="1287"/>
      <c r="E28" s="1287"/>
      <c r="G28" s="321"/>
    </row>
    <row r="29" spans="2:7" ht="15.75" customHeight="1">
      <c r="B29" s="1285" t="s">
        <v>217</v>
      </c>
      <c r="C29" s="1285"/>
      <c r="D29" s="1285"/>
      <c r="E29" s="1285"/>
      <c r="G29" s="322"/>
    </row>
    <row r="30" spans="2:7" ht="30" customHeight="1">
      <c r="B30" s="1288" t="s">
        <v>589</v>
      </c>
      <c r="C30" s="1289"/>
      <c r="D30" s="1289"/>
      <c r="E30" s="1289"/>
      <c r="G30" s="322"/>
    </row>
    <row r="31" spans="2:7" ht="30" customHeight="1">
      <c r="B31" s="1285" t="s">
        <v>218</v>
      </c>
      <c r="C31" s="1285"/>
      <c r="D31" s="1285"/>
      <c r="E31" s="1285"/>
      <c r="G31" s="322"/>
    </row>
    <row r="32" spans="2:7" ht="30" customHeight="1">
      <c r="B32" s="1284" t="s">
        <v>219</v>
      </c>
      <c r="C32" s="1285"/>
      <c r="D32" s="1285"/>
      <c r="E32" s="1285"/>
      <c r="G32" s="322"/>
    </row>
    <row r="33" spans="2:7" ht="15.75" customHeight="1">
      <c r="B33" s="1285" t="s">
        <v>220</v>
      </c>
      <c r="C33" s="1285"/>
      <c r="D33" s="1285"/>
      <c r="E33" s="1285"/>
      <c r="G33" s="322"/>
    </row>
    <row r="34" spans="2:7" ht="16.5" customHeight="1">
      <c r="B34" s="323"/>
      <c r="C34" s="323"/>
      <c r="D34" s="323"/>
      <c r="E34" s="323"/>
      <c r="G34" s="322"/>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paperSize="9"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pageSetUpPr fitToPage="1"/>
  </sheetPr>
  <dimension ref="B1:O49"/>
  <sheetViews>
    <sheetView zoomScaleNormal="100" workbookViewId="0">
      <selection activeCell="E17" sqref="E17"/>
    </sheetView>
  </sheetViews>
  <sheetFormatPr baseColWidth="10" defaultColWidth="10.90625" defaultRowHeight="12"/>
  <cols>
    <col min="1" max="1" width="0.90625" style="1" customWidth="1"/>
    <col min="2" max="2" width="5.453125" style="1" customWidth="1"/>
    <col min="3" max="8" width="8.90625" style="1" customWidth="1"/>
    <col min="9" max="14" width="10.90625" style="34" customWidth="1"/>
    <col min="15" max="16384" width="10.90625" style="1"/>
  </cols>
  <sheetData>
    <row r="1" spans="2:15" s="141" customFormat="1" ht="18" customHeight="1">
      <c r="B1" s="1291" t="s">
        <v>75</v>
      </c>
      <c r="C1" s="1291"/>
      <c r="D1" s="1291"/>
      <c r="E1" s="1291"/>
      <c r="F1" s="1291"/>
      <c r="G1" s="1291"/>
      <c r="H1" s="1291"/>
      <c r="I1" s="324"/>
      <c r="J1" s="324"/>
      <c r="K1" s="324"/>
      <c r="L1" s="324"/>
      <c r="M1" s="324"/>
      <c r="N1" s="324"/>
      <c r="O1" s="324"/>
    </row>
    <row r="2" spans="2:15" s="141" customFormat="1" ht="12.75">
      <c r="I2" s="324"/>
      <c r="J2" s="324"/>
      <c r="K2" s="324"/>
      <c r="L2" s="324"/>
      <c r="M2" s="324"/>
      <c r="N2" s="324"/>
      <c r="O2" s="324"/>
    </row>
    <row r="3" spans="2:15" s="141" customFormat="1" ht="12.75">
      <c r="B3" s="1152" t="s">
        <v>468</v>
      </c>
      <c r="C3" s="1152"/>
      <c r="D3" s="1152"/>
      <c r="E3" s="1152"/>
      <c r="F3" s="1152"/>
      <c r="G3" s="1152"/>
      <c r="H3" s="1152"/>
      <c r="I3" s="324"/>
      <c r="J3" s="324"/>
      <c r="K3" s="324"/>
      <c r="L3" s="324"/>
      <c r="M3" s="324"/>
      <c r="N3" s="324"/>
      <c r="O3" s="324"/>
    </row>
    <row r="4" spans="2:15" s="141" customFormat="1" ht="12.75">
      <c r="B4" s="1152" t="s">
        <v>514</v>
      </c>
      <c r="C4" s="1152"/>
      <c r="D4" s="1152"/>
      <c r="E4" s="1152"/>
      <c r="F4" s="1152"/>
      <c r="G4" s="1152"/>
      <c r="H4" s="1152"/>
      <c r="I4" s="324"/>
      <c r="J4" s="324"/>
      <c r="K4" s="324"/>
      <c r="L4" s="324"/>
      <c r="M4" s="324"/>
      <c r="N4" s="324"/>
      <c r="O4" s="324"/>
    </row>
    <row r="5" spans="2:15" s="141" customFormat="1" ht="12.75">
      <c r="B5" s="1292" t="s">
        <v>221</v>
      </c>
      <c r="C5" s="1292"/>
      <c r="D5" s="1292"/>
      <c r="E5" s="1292"/>
      <c r="F5" s="1292"/>
      <c r="G5" s="1292"/>
      <c r="H5" s="1292"/>
      <c r="I5" s="324"/>
      <c r="J5" s="324"/>
      <c r="K5" s="324"/>
      <c r="L5" s="324"/>
      <c r="M5" s="324"/>
      <c r="N5" s="324"/>
      <c r="O5" s="324"/>
    </row>
    <row r="6" spans="2:15" s="132" customFormat="1" ht="30" customHeight="1">
      <c r="B6" s="325" t="s">
        <v>5</v>
      </c>
      <c r="C6" s="325" t="s">
        <v>6</v>
      </c>
      <c r="D6" s="325" t="s">
        <v>222</v>
      </c>
      <c r="E6" s="325" t="s">
        <v>10</v>
      </c>
      <c r="F6" s="325" t="s">
        <v>222</v>
      </c>
      <c r="G6" s="325" t="s">
        <v>472</v>
      </c>
      <c r="H6" s="325" t="s">
        <v>222</v>
      </c>
      <c r="I6" s="253"/>
      <c r="J6" s="253"/>
      <c r="K6" s="253"/>
      <c r="L6" s="326"/>
      <c r="M6" s="327"/>
      <c r="N6" s="253"/>
      <c r="O6" s="253"/>
    </row>
    <row r="7" spans="2:15" s="132" customFormat="1" ht="15.75" customHeight="1">
      <c r="B7" s="532">
        <v>2010</v>
      </c>
      <c r="C7" s="523">
        <v>1292649.96</v>
      </c>
      <c r="D7" s="328">
        <v>2.4924102966400675E-2</v>
      </c>
      <c r="E7" s="523">
        <v>596478.2009999993</v>
      </c>
      <c r="F7" s="328">
        <v>-0.19391492994314166</v>
      </c>
      <c r="G7" s="524">
        <v>1889128.1609999994</v>
      </c>
      <c r="H7" s="328">
        <v>-5.5995051271120151E-2</v>
      </c>
      <c r="I7" s="478"/>
      <c r="J7" s="329"/>
      <c r="K7" s="253"/>
      <c r="L7" s="329"/>
      <c r="M7" s="327"/>
      <c r="N7" s="329"/>
      <c r="O7" s="253"/>
    </row>
    <row r="8" spans="2:15" s="35" customFormat="1" ht="15.75" customHeight="1">
      <c r="B8" s="114">
        <v>2011</v>
      </c>
      <c r="C8" s="525">
        <v>1379698.1595000001</v>
      </c>
      <c r="D8" s="331">
        <v>6.734089056870439E-2</v>
      </c>
      <c r="E8" s="525">
        <v>666016.16</v>
      </c>
      <c r="F8" s="331">
        <v>0.11658088909774057</v>
      </c>
      <c r="G8" s="526">
        <v>2045714.3195000002</v>
      </c>
      <c r="H8" s="331">
        <v>8.2888054782430873E-2</v>
      </c>
      <c r="I8" s="478"/>
      <c r="J8" s="332"/>
      <c r="K8" s="33"/>
      <c r="L8" s="332"/>
      <c r="M8" s="333"/>
      <c r="N8" s="332"/>
      <c r="O8" s="33"/>
    </row>
    <row r="9" spans="2:15" s="35" customFormat="1" ht="15.75" customHeight="1">
      <c r="B9" s="114">
        <v>2012</v>
      </c>
      <c r="C9" s="525">
        <v>1413644</v>
      </c>
      <c r="D9" s="331">
        <v>2.4603816614716539E-2</v>
      </c>
      <c r="E9" s="525">
        <v>873303.59099999967</v>
      </c>
      <c r="F9" s="331">
        <v>0.31123483700455501</v>
      </c>
      <c r="G9" s="526">
        <v>2286947.5909999995</v>
      </c>
      <c r="H9" s="331">
        <v>0.11792128998684429</v>
      </c>
      <c r="I9" s="478"/>
      <c r="J9" s="332"/>
      <c r="K9" s="33"/>
      <c r="L9" s="332"/>
      <c r="M9" s="333"/>
      <c r="N9" s="332"/>
      <c r="O9" s="33"/>
    </row>
    <row r="10" spans="2:15" s="35" customFormat="1" ht="15.75" customHeight="1">
      <c r="B10" s="114">
        <v>2013</v>
      </c>
      <c r="C10" s="525">
        <v>1411057.0441826645</v>
      </c>
      <c r="D10" s="331">
        <v>-1.8299910142408682E-3</v>
      </c>
      <c r="E10" s="525">
        <v>1092901.9909999999</v>
      </c>
      <c r="F10" s="331">
        <v>0.25145711326864378</v>
      </c>
      <c r="G10" s="526">
        <v>2503959.0351826642</v>
      </c>
      <c r="H10" s="331">
        <v>9.4891306226992878E-2</v>
      </c>
      <c r="I10" s="478"/>
      <c r="J10" s="332"/>
      <c r="K10" s="33"/>
      <c r="L10" s="332"/>
      <c r="M10" s="333"/>
      <c r="N10" s="332"/>
      <c r="O10" s="33"/>
    </row>
    <row r="11" spans="2:15" s="35" customFormat="1" ht="15.75" customHeight="1">
      <c r="B11" s="114">
        <v>2014</v>
      </c>
      <c r="C11" s="525">
        <v>1115732</v>
      </c>
      <c r="D11" s="331">
        <v>-0.20929348349182261</v>
      </c>
      <c r="E11" s="525">
        <v>1410364.561</v>
      </c>
      <c r="F11" s="331">
        <v>0.29047670570123435</v>
      </c>
      <c r="G11" s="526">
        <v>2526096.5609999998</v>
      </c>
      <c r="H11" s="331">
        <v>8.8410095797436423E-3</v>
      </c>
      <c r="I11" s="478"/>
      <c r="J11" s="332"/>
      <c r="K11" s="33"/>
      <c r="L11" s="332"/>
      <c r="M11" s="333"/>
      <c r="N11" s="332"/>
      <c r="O11" s="33"/>
    </row>
    <row r="12" spans="2:15" s="35" customFormat="1" ht="15.75" customHeight="1">
      <c r="B12" s="114">
        <v>2015</v>
      </c>
      <c r="C12" s="525">
        <v>1517892</v>
      </c>
      <c r="D12" s="331">
        <v>0.36044498141130665</v>
      </c>
      <c r="E12" s="525">
        <v>1528818.3489999999</v>
      </c>
      <c r="F12" s="331">
        <v>8.3988063282029637E-2</v>
      </c>
      <c r="G12" s="526">
        <v>3046710.3489999999</v>
      </c>
      <c r="H12" s="331">
        <v>0.20609417551081502</v>
      </c>
      <c r="I12" s="478"/>
      <c r="J12" s="332"/>
      <c r="K12" s="33"/>
      <c r="L12" s="332"/>
      <c r="M12" s="333"/>
      <c r="N12" s="332"/>
      <c r="O12" s="33"/>
    </row>
    <row r="13" spans="2:15" s="35" customFormat="1" ht="15.75" customHeight="1">
      <c r="B13" s="114">
        <v>2016</v>
      </c>
      <c r="C13" s="525">
        <v>1149039.1000000001</v>
      </c>
      <c r="D13" s="331">
        <v>-0.2430033889104099</v>
      </c>
      <c r="E13" s="525">
        <v>1462676.1939999999</v>
      </c>
      <c r="F13" s="331">
        <v>-4.3263580034386434E-2</v>
      </c>
      <c r="G13" s="526">
        <v>2611715.2939999998</v>
      </c>
      <c r="H13" s="331">
        <v>-0.14277532327376494</v>
      </c>
      <c r="I13" s="478"/>
      <c r="J13" s="332"/>
      <c r="K13" s="33"/>
      <c r="L13" s="332"/>
      <c r="M13" s="333"/>
      <c r="N13" s="332"/>
      <c r="O13" s="33"/>
    </row>
    <row r="14" spans="2:15" s="35" customFormat="1" ht="15.75" customHeight="1">
      <c r="B14" s="114">
        <v>2017</v>
      </c>
      <c r="C14" s="525">
        <v>1039676</v>
      </c>
      <c r="D14" s="331">
        <v>-9.5177875148025934E-2</v>
      </c>
      <c r="E14" s="525">
        <v>1590526.189</v>
      </c>
      <c r="F14" s="331">
        <v>8.7408269529817839E-2</v>
      </c>
      <c r="G14" s="526">
        <v>2630202.1890000002</v>
      </c>
      <c r="H14" s="331">
        <v>7.0784495700856763E-3</v>
      </c>
      <c r="I14" s="478"/>
      <c r="J14" s="332"/>
      <c r="K14" s="33"/>
      <c r="L14" s="332"/>
      <c r="M14" s="333"/>
      <c r="N14" s="332"/>
      <c r="O14" s="33"/>
    </row>
    <row r="15" spans="2:15" s="35" customFormat="1" ht="15.75" customHeight="1">
      <c r="B15" s="114">
        <v>2018</v>
      </c>
      <c r="C15" s="525">
        <v>1087909.8671827174</v>
      </c>
      <c r="D15" s="331">
        <v>4.6393171702258616E-2</v>
      </c>
      <c r="E15" s="525">
        <v>1918486.1880699999</v>
      </c>
      <c r="F15" s="331">
        <v>0.20619591260939615</v>
      </c>
      <c r="G15" s="526">
        <v>3006396.0552527173</v>
      </c>
      <c r="H15" s="331">
        <v>0.1430284971345665</v>
      </c>
      <c r="I15" s="478"/>
      <c r="J15" s="332"/>
      <c r="K15" s="33"/>
      <c r="L15" s="332"/>
      <c r="M15" s="33"/>
      <c r="N15" s="332"/>
      <c r="O15" s="33"/>
    </row>
    <row r="16" spans="2:15" s="35" customFormat="1" ht="15.75" customHeight="1">
      <c r="B16" s="591">
        <v>2019</v>
      </c>
      <c r="C16" s="525">
        <v>951070</v>
      </c>
      <c r="D16" s="331">
        <v>-0.12578235689421757</v>
      </c>
      <c r="E16" s="525">
        <v>2366707.7000000002</v>
      </c>
      <c r="F16" s="331">
        <v>0.23363291052979207</v>
      </c>
      <c r="G16" s="526">
        <v>3317777.7</v>
      </c>
      <c r="H16" s="331">
        <v>0.10357306190687776</v>
      </c>
      <c r="I16" s="478"/>
      <c r="J16" s="332"/>
      <c r="K16" s="33"/>
      <c r="L16" s="332"/>
      <c r="M16" s="33"/>
      <c r="N16" s="332"/>
      <c r="O16" s="33"/>
    </row>
    <row r="17" spans="2:15" s="35" customFormat="1" ht="15.75" customHeight="1">
      <c r="B17" s="591">
        <v>2020</v>
      </c>
      <c r="C17" s="525">
        <v>565884</v>
      </c>
      <c r="D17" s="331">
        <f>(C17/C15-1)</f>
        <v>-0.47984293821561763</v>
      </c>
      <c r="E17" s="525">
        <f>+'36'!F19</f>
        <v>2788006.5392800001</v>
      </c>
      <c r="F17" s="331">
        <f>(E17/E15-1)</f>
        <v>0.4532325312619212</v>
      </c>
      <c r="G17" s="525">
        <f>C17+E17</f>
        <v>3353890.5392800001</v>
      </c>
      <c r="H17" s="331">
        <f>(G17/G15-1)</f>
        <v>0.11558506518798395</v>
      </c>
      <c r="I17" s="478"/>
      <c r="J17" s="332"/>
      <c r="K17" s="33"/>
      <c r="L17" s="332"/>
      <c r="M17" s="33"/>
      <c r="N17" s="332"/>
      <c r="O17" s="33"/>
    </row>
    <row r="18" spans="2:15" s="35" customFormat="1" ht="18" customHeight="1">
      <c r="B18" s="1155" t="s">
        <v>352</v>
      </c>
      <c r="C18" s="1156"/>
      <c r="D18" s="1156"/>
      <c r="E18" s="1156"/>
      <c r="F18" s="1156"/>
      <c r="G18" s="1156"/>
      <c r="H18" s="1157"/>
      <c r="I18" s="33"/>
      <c r="J18" s="33"/>
      <c r="K18" s="33"/>
      <c r="L18" s="33"/>
      <c r="M18" s="33"/>
      <c r="N18" s="33"/>
      <c r="O18" s="33"/>
    </row>
    <row r="19" spans="2:15" s="35" customFormat="1" ht="18" customHeight="1">
      <c r="B19" s="1290"/>
      <c r="C19" s="1290"/>
      <c r="D19" s="1290"/>
      <c r="E19" s="1290"/>
      <c r="F19" s="1290"/>
      <c r="G19" s="1290"/>
      <c r="H19" s="1290"/>
      <c r="I19" s="33"/>
      <c r="J19" s="33"/>
      <c r="K19" s="33"/>
      <c r="L19" s="33"/>
      <c r="M19" s="33"/>
      <c r="N19" s="33"/>
      <c r="O19" s="33"/>
    </row>
    <row r="20" spans="2:15" ht="12.75" customHeight="1">
      <c r="B20" s="334"/>
      <c r="C20" s="334"/>
      <c r="D20" s="334"/>
      <c r="E20" s="334"/>
      <c r="F20" s="334"/>
      <c r="G20" s="334"/>
      <c r="H20" s="334"/>
      <c r="O20" s="34"/>
    </row>
    <row r="21" spans="2:15" ht="12.75" customHeight="1">
      <c r="O21" s="34"/>
    </row>
    <row r="22" spans="2:15" ht="12.75" customHeight="1">
      <c r="O22" s="34"/>
    </row>
    <row r="23" spans="2:15" ht="12.75" customHeight="1">
      <c r="O23" s="34"/>
    </row>
    <row r="24" spans="2:15" ht="12.75" customHeight="1"/>
    <row r="25" spans="2:15" ht="12.75" customHeight="1"/>
    <row r="26" spans="2:15" ht="12.75" customHeight="1"/>
    <row r="27" spans="2:15" ht="12.75" customHeight="1"/>
    <row r="28" spans="2:15" ht="12.75" customHeight="1">
      <c r="H28" s="17"/>
    </row>
    <row r="29" spans="2:15" ht="12.75" customHeight="1">
      <c r="H29" s="18"/>
      <c r="L29" s="335"/>
    </row>
    <row r="30" spans="2:15" ht="12.75" customHeight="1">
      <c r="L30" s="335"/>
    </row>
    <row r="31" spans="2:15" ht="12.75" customHeight="1">
      <c r="L31" s="335"/>
    </row>
    <row r="32" spans="2:15" ht="12.75" customHeight="1"/>
    <row r="33" ht="12.75" customHeight="1"/>
    <row r="34" ht="12.75" customHeight="1"/>
    <row r="35" ht="12.75" customHeight="1"/>
    <row r="36" ht="12.75" customHeight="1"/>
    <row r="37" ht="12.75" customHeight="1"/>
    <row r="38" ht="12.75" customHeight="1"/>
    <row r="49" spans="2:11">
      <c r="B49" s="16"/>
      <c r="C49" s="16"/>
      <c r="D49" s="16"/>
      <c r="E49" s="16"/>
      <c r="F49" s="16"/>
      <c r="G49" s="16"/>
      <c r="H49" s="16"/>
      <c r="I49" s="256"/>
      <c r="J49" s="256"/>
      <c r="K49" s="256"/>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7 E17"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topLeftCell="A4" zoomScaleNormal="100" workbookViewId="0">
      <selection activeCell="I9" sqref="I9"/>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3" customFormat="1" ht="16.5" customHeight="1">
      <c r="B1" s="1104" t="s">
        <v>4</v>
      </c>
      <c r="C1" s="1104"/>
      <c r="D1" s="1104"/>
      <c r="E1" s="1104"/>
      <c r="F1" s="1104"/>
      <c r="G1" s="1104"/>
    </row>
    <row r="2" spans="1:11" s="23" customFormat="1" ht="11.25" customHeight="1">
      <c r="A2" s="25"/>
      <c r="B2" s="25"/>
      <c r="C2" s="25"/>
      <c r="D2" s="25"/>
      <c r="E2" s="24"/>
      <c r="F2" s="873"/>
      <c r="G2" s="38"/>
    </row>
    <row r="3" spans="1:11" s="23" customFormat="1" ht="15.75" customHeight="1">
      <c r="B3" s="1104" t="s">
        <v>457</v>
      </c>
      <c r="C3" s="1104"/>
      <c r="D3" s="1104"/>
      <c r="E3" s="1104"/>
      <c r="F3" s="1104"/>
      <c r="G3" s="1104"/>
    </row>
    <row r="4" spans="1:11" s="23" customFormat="1" ht="15.75" customHeight="1">
      <c r="B4" s="1160" t="s">
        <v>683</v>
      </c>
      <c r="C4" s="1160"/>
      <c r="D4" s="1160"/>
      <c r="E4" s="1160"/>
      <c r="F4" s="1160"/>
      <c r="G4" s="1160"/>
    </row>
    <row r="5" spans="1:11" s="23" customFormat="1" ht="15.75" customHeight="1">
      <c r="B5" s="1101" t="s">
        <v>221</v>
      </c>
      <c r="C5" s="1101"/>
      <c r="D5" s="1101"/>
      <c r="E5" s="1101"/>
      <c r="F5" s="1101"/>
      <c r="G5" s="1101"/>
    </row>
    <row r="6" spans="1:11" s="35" customFormat="1" ht="15.75" customHeight="1">
      <c r="B6" s="272" t="s">
        <v>224</v>
      </c>
      <c r="C6" s="345">
        <v>2017</v>
      </c>
      <c r="D6" s="345">
        <v>2018</v>
      </c>
      <c r="E6" s="345">
        <v>2019</v>
      </c>
      <c r="F6" s="412">
        <v>2020</v>
      </c>
      <c r="G6" s="412">
        <v>2021</v>
      </c>
      <c r="I6" s="191"/>
      <c r="J6" s="191"/>
    </row>
    <row r="7" spans="1:11" s="35" customFormat="1" ht="15.75" customHeight="1">
      <c r="B7" s="96" t="s">
        <v>47</v>
      </c>
      <c r="C7" s="315">
        <v>123573.572</v>
      </c>
      <c r="D7" s="315">
        <v>178988.753</v>
      </c>
      <c r="E7" s="315">
        <v>210065</v>
      </c>
      <c r="F7" s="599">
        <v>189863.11424</v>
      </c>
      <c r="G7" s="599">
        <v>169319.18</v>
      </c>
      <c r="H7" s="465"/>
      <c r="I7" s="191"/>
      <c r="J7" s="18"/>
    </row>
    <row r="8" spans="1:11" s="35" customFormat="1" ht="15.75" customHeight="1">
      <c r="B8" s="96" t="s">
        <v>48</v>
      </c>
      <c r="C8" s="315">
        <v>122237.484</v>
      </c>
      <c r="D8" s="315">
        <v>116325.951</v>
      </c>
      <c r="E8" s="315">
        <v>298256.8</v>
      </c>
      <c r="F8" s="599">
        <v>210122.08674999996</v>
      </c>
      <c r="G8" s="599">
        <v>228791</v>
      </c>
      <c r="H8" s="336"/>
      <c r="I8" s="18"/>
    </row>
    <row r="9" spans="1:11" s="35" customFormat="1" ht="15.75" customHeight="1">
      <c r="B9" s="96" t="s">
        <v>49</v>
      </c>
      <c r="C9" s="315">
        <v>35503.595999999998</v>
      </c>
      <c r="D9" s="315">
        <v>157653.57500000001</v>
      </c>
      <c r="E9" s="315">
        <v>120993</v>
      </c>
      <c r="F9" s="599">
        <v>236367.36278</v>
      </c>
      <c r="G9" s="599"/>
      <c r="H9" s="337"/>
      <c r="I9" s="337"/>
      <c r="J9" s="411"/>
      <c r="K9" s="337"/>
    </row>
    <row r="10" spans="1:11" s="35" customFormat="1" ht="15.75" customHeight="1">
      <c r="B10" s="96" t="s">
        <v>57</v>
      </c>
      <c r="C10" s="315">
        <v>7254.9740000000002</v>
      </c>
      <c r="D10" s="315">
        <v>44290.14</v>
      </c>
      <c r="E10" s="315">
        <v>35949</v>
      </c>
      <c r="F10" s="315">
        <v>163687.78844</v>
      </c>
      <c r="G10" s="315"/>
      <c r="H10" s="411"/>
    </row>
    <row r="11" spans="1:11" s="35" customFormat="1" ht="15.75" customHeight="1">
      <c r="B11" s="96" t="s">
        <v>58</v>
      </c>
      <c r="C11" s="315">
        <v>31633.142</v>
      </c>
      <c r="D11" s="315">
        <v>73076.376999999993</v>
      </c>
      <c r="E11" s="315">
        <v>156074</v>
      </c>
      <c r="F11" s="147">
        <v>154544.45334000001</v>
      </c>
      <c r="G11" s="147"/>
      <c r="I11" s="191"/>
      <c r="K11" s="338"/>
    </row>
    <row r="12" spans="1:11" s="35" customFormat="1" ht="15.75" customHeight="1">
      <c r="B12" s="96" t="s">
        <v>50</v>
      </c>
      <c r="C12" s="315">
        <v>50358.28</v>
      </c>
      <c r="D12" s="315">
        <v>170531.42981</v>
      </c>
      <c r="E12" s="315">
        <v>132890.9</v>
      </c>
      <c r="F12" s="147">
        <v>176351.1024</v>
      </c>
      <c r="G12" s="147"/>
      <c r="H12" s="191"/>
      <c r="I12" s="191"/>
      <c r="J12" s="191"/>
      <c r="K12" s="338"/>
    </row>
    <row r="13" spans="1:11" s="35" customFormat="1" ht="15.75" customHeight="1">
      <c r="B13" s="96" t="s">
        <v>51</v>
      </c>
      <c r="C13" s="315">
        <v>188221.28</v>
      </c>
      <c r="D13" s="315">
        <v>252816.71930000003</v>
      </c>
      <c r="E13" s="315">
        <v>260760</v>
      </c>
      <c r="F13" s="147">
        <v>314078.46445999999</v>
      </c>
      <c r="G13" s="147"/>
      <c r="H13" s="191"/>
      <c r="K13" s="338"/>
    </row>
    <row r="14" spans="1:11" s="35" customFormat="1" ht="15.75" customHeight="1">
      <c r="B14" s="96" t="s">
        <v>52</v>
      </c>
      <c r="C14" s="315">
        <v>241462.57</v>
      </c>
      <c r="D14" s="315">
        <v>176338.86595999997</v>
      </c>
      <c r="E14" s="315">
        <v>211372</v>
      </c>
      <c r="F14" s="147">
        <v>320739.91644</v>
      </c>
      <c r="G14" s="147"/>
      <c r="H14" s="191"/>
      <c r="K14" s="338"/>
    </row>
    <row r="15" spans="1:11" s="35" customFormat="1" ht="15.75" customHeight="1">
      <c r="B15" s="96" t="s">
        <v>53</v>
      </c>
      <c r="C15" s="315">
        <v>223707.29500000001</v>
      </c>
      <c r="D15" s="315">
        <v>152839.46731000001</v>
      </c>
      <c r="E15" s="315">
        <v>225844</v>
      </c>
      <c r="F15" s="147">
        <v>269826.26050999999</v>
      </c>
      <c r="G15" s="147"/>
      <c r="H15" s="191"/>
      <c r="I15" s="191"/>
      <c r="J15" s="191"/>
      <c r="K15" s="46"/>
    </row>
    <row r="16" spans="1:11" s="35" customFormat="1" ht="15.75" customHeight="1">
      <c r="B16" s="96" t="s">
        <v>54</v>
      </c>
      <c r="C16" s="315">
        <v>180514.016</v>
      </c>
      <c r="D16" s="315">
        <v>301372.16352</v>
      </c>
      <c r="E16" s="315">
        <v>231780</v>
      </c>
      <c r="F16" s="147">
        <v>349715.25824</v>
      </c>
      <c r="G16" s="147"/>
    </row>
    <row r="17" spans="2:12" s="35" customFormat="1" ht="15.75" customHeight="1">
      <c r="B17" s="96" t="s">
        <v>55</v>
      </c>
      <c r="C17" s="315">
        <v>233675.29699999999</v>
      </c>
      <c r="D17" s="315">
        <v>80243.48517</v>
      </c>
      <c r="E17" s="315">
        <v>214971</v>
      </c>
      <c r="F17" s="147">
        <v>211944.91768000001</v>
      </c>
      <c r="G17" s="147"/>
    </row>
    <row r="18" spans="2:12" s="35" customFormat="1" ht="15.75" customHeight="1">
      <c r="B18" s="96" t="s">
        <v>56</v>
      </c>
      <c r="C18" s="315">
        <v>152384.68299999999</v>
      </c>
      <c r="D18" s="315">
        <v>214009.261</v>
      </c>
      <c r="E18" s="315">
        <v>267752</v>
      </c>
      <c r="F18" s="147">
        <v>190765.81400000001</v>
      </c>
      <c r="G18" s="147"/>
      <c r="H18" s="191"/>
    </row>
    <row r="19" spans="2:12" s="35" customFormat="1" ht="15.75" customHeight="1">
      <c r="B19" s="96" t="s">
        <v>64</v>
      </c>
      <c r="C19" s="147">
        <v>1590526.189</v>
      </c>
      <c r="D19" s="147">
        <v>1918486.1880699999</v>
      </c>
      <c r="E19" s="147">
        <v>2366707.7000000002</v>
      </c>
      <c r="F19" s="147">
        <v>2788006.5392800001</v>
      </c>
      <c r="G19" s="147">
        <f>SUM(G7:G18)</f>
        <v>398110.18</v>
      </c>
      <c r="H19" s="191"/>
      <c r="I19" s="191"/>
    </row>
    <row r="20" spans="2:12" ht="18.75" customHeight="1">
      <c r="B20" s="1138" t="s">
        <v>122</v>
      </c>
      <c r="C20" s="1138"/>
      <c r="D20" s="1138"/>
      <c r="E20" s="1138"/>
      <c r="F20" s="1138"/>
      <c r="G20" s="1138"/>
      <c r="H20" s="339"/>
      <c r="I20" s="339"/>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0"/>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39"/>
      <c r="J38" s="339"/>
      <c r="K38" s="339"/>
      <c r="L38" s="339"/>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40"/>
      <c r="H43" s="340"/>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zoomScaleNormal="100" workbookViewId="0">
      <selection activeCell="K17" sqref="K17"/>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1" width="4.7265625" style="1" bestFit="1" customWidth="1"/>
    <col min="12" max="13" width="4.36328125" style="1" customWidth="1"/>
    <col min="14" max="14" width="6.90625" style="1" customWidth="1"/>
    <col min="15" max="16384" width="10.90625" style="1"/>
  </cols>
  <sheetData>
    <row r="1" spans="2:18" s="23" customFormat="1" ht="12.75">
      <c r="B1" s="1098" t="s">
        <v>0</v>
      </c>
      <c r="C1" s="1098"/>
      <c r="D1" s="1098"/>
      <c r="E1" s="1098"/>
      <c r="F1" s="1098"/>
      <c r="G1" s="1098"/>
    </row>
    <row r="2" spans="2:18" s="23" customFormat="1" ht="12.75">
      <c r="B2" s="28"/>
      <c r="C2" s="28"/>
      <c r="D2" s="28"/>
      <c r="E2" s="28"/>
      <c r="F2" s="28"/>
      <c r="G2" s="28"/>
    </row>
    <row r="3" spans="2:18" s="23" customFormat="1" ht="13.5" customHeight="1">
      <c r="B3" s="1099" t="s">
        <v>543</v>
      </c>
      <c r="C3" s="1100"/>
      <c r="D3" s="1100"/>
      <c r="E3" s="1100"/>
      <c r="F3" s="1100"/>
      <c r="G3" s="1100"/>
    </row>
    <row r="4" spans="2:18" s="23" customFormat="1" ht="12.75" customHeight="1">
      <c r="B4" s="1101" t="s">
        <v>33</v>
      </c>
      <c r="C4" s="1101"/>
      <c r="D4" s="1101"/>
      <c r="E4" s="1101"/>
      <c r="F4" s="1101"/>
      <c r="G4" s="1101"/>
      <c r="H4" s="38"/>
    </row>
    <row r="5" spans="2:18" s="21" customFormat="1" ht="30" customHeight="1">
      <c r="B5" s="368" t="s">
        <v>34</v>
      </c>
      <c r="C5" s="238" t="s">
        <v>127</v>
      </c>
      <c r="D5" s="238" t="s">
        <v>6</v>
      </c>
      <c r="E5" s="238" t="s">
        <v>13</v>
      </c>
      <c r="F5" s="238" t="s">
        <v>110</v>
      </c>
      <c r="G5" s="238" t="s">
        <v>128</v>
      </c>
      <c r="I5" s="23"/>
    </row>
    <row r="6" spans="2:18" s="21" customFormat="1" ht="15.75" customHeight="1">
      <c r="B6" s="43">
        <v>43952</v>
      </c>
      <c r="C6" s="666">
        <v>295.12</v>
      </c>
      <c r="D6" s="666">
        <v>768.49</v>
      </c>
      <c r="E6" s="666">
        <v>753.49</v>
      </c>
      <c r="F6" s="666">
        <v>187.98</v>
      </c>
      <c r="G6" s="666">
        <v>310.12</v>
      </c>
      <c r="H6" s="40"/>
      <c r="I6" s="45"/>
      <c r="K6" s="140"/>
      <c r="L6" s="140"/>
      <c r="M6" s="140"/>
      <c r="N6" s="140"/>
      <c r="O6" s="1094"/>
      <c r="P6" s="1095"/>
    </row>
    <row r="7" spans="2:18" s="21" customFormat="1" ht="15.75" customHeight="1">
      <c r="B7" s="43">
        <v>43983</v>
      </c>
      <c r="C7" s="666">
        <v>295.83999999999997</v>
      </c>
      <c r="D7" s="666">
        <v>773.43</v>
      </c>
      <c r="E7" s="666">
        <v>753.19</v>
      </c>
      <c r="F7" s="666">
        <v>188.85</v>
      </c>
      <c r="G7" s="666">
        <v>316.08999999999997</v>
      </c>
      <c r="H7" s="137"/>
      <c r="I7" s="45"/>
    </row>
    <row r="8" spans="2:18" s="21" customFormat="1" ht="15.75" customHeight="1">
      <c r="B8" s="43">
        <v>44013</v>
      </c>
      <c r="C8" s="666">
        <v>297.12</v>
      </c>
      <c r="D8" s="666">
        <v>769.31</v>
      </c>
      <c r="E8" s="666">
        <v>751.59</v>
      </c>
      <c r="F8" s="666">
        <v>188.04</v>
      </c>
      <c r="G8" s="666">
        <v>314.83999999999997</v>
      </c>
    </row>
    <row r="9" spans="2:18" s="21" customFormat="1" ht="15.75" customHeight="1">
      <c r="B9" s="43">
        <v>44044</v>
      </c>
      <c r="C9" s="666">
        <v>300.91000000000003</v>
      </c>
      <c r="D9" s="666">
        <v>766.03</v>
      </c>
      <c r="E9" s="666">
        <v>750.14</v>
      </c>
      <c r="F9" s="666">
        <v>187.99</v>
      </c>
      <c r="G9" s="666">
        <v>316.79000000000002</v>
      </c>
      <c r="H9" s="212"/>
      <c r="I9" s="185"/>
      <c r="J9" s="35"/>
      <c r="K9" s="45"/>
      <c r="L9" s="45"/>
    </row>
    <row r="10" spans="2:18" s="21" customFormat="1" ht="15.75" customHeight="1">
      <c r="B10" s="43">
        <v>44075</v>
      </c>
      <c r="C10" s="666">
        <v>299.77999999999997</v>
      </c>
      <c r="D10" s="666">
        <v>770.49</v>
      </c>
      <c r="E10" s="666">
        <v>750.9</v>
      </c>
      <c r="F10" s="666">
        <v>189.44</v>
      </c>
      <c r="G10" s="666">
        <v>319.37</v>
      </c>
      <c r="H10" s="580"/>
      <c r="I10" s="45"/>
      <c r="J10" s="481"/>
    </row>
    <row r="11" spans="2:18" s="21" customFormat="1" ht="15.75" customHeight="1">
      <c r="B11" s="43">
        <v>44105</v>
      </c>
      <c r="C11" s="666">
        <v>299.39999999999998</v>
      </c>
      <c r="D11" s="857">
        <v>773.08</v>
      </c>
      <c r="E11" s="857">
        <v>751.03</v>
      </c>
      <c r="F11" s="857">
        <v>189.92</v>
      </c>
      <c r="G11" s="857">
        <v>321.45</v>
      </c>
      <c r="H11" s="218"/>
      <c r="I11" s="45"/>
      <c r="J11" s="481"/>
    </row>
    <row r="12" spans="2:18" s="21" customFormat="1" ht="15.75" customHeight="1">
      <c r="B12" s="43">
        <v>44136</v>
      </c>
      <c r="C12" s="857">
        <v>300.76</v>
      </c>
      <c r="D12" s="857">
        <v>772.38</v>
      </c>
      <c r="E12" s="857">
        <v>752.68</v>
      </c>
      <c r="F12" s="857">
        <v>190.79</v>
      </c>
      <c r="G12" s="857">
        <v>320.45</v>
      </c>
      <c r="H12" s="218"/>
      <c r="I12" s="45"/>
    </row>
    <row r="13" spans="2:18" s="21" customFormat="1" ht="15.75" customHeight="1">
      <c r="B13" s="43">
        <v>44166</v>
      </c>
      <c r="C13" s="857">
        <v>300.62</v>
      </c>
      <c r="D13" s="857">
        <v>773.66</v>
      </c>
      <c r="E13" s="857">
        <v>757.7</v>
      </c>
      <c r="F13" s="857">
        <v>193.65</v>
      </c>
      <c r="G13" s="857">
        <v>316.5</v>
      </c>
      <c r="H13" s="218"/>
      <c r="I13" s="214"/>
      <c r="J13" s="215"/>
      <c r="K13" s="215"/>
      <c r="L13" s="215"/>
      <c r="M13" s="215"/>
      <c r="N13" s="217"/>
      <c r="O13" s="217"/>
      <c r="P13" s="217"/>
      <c r="Q13" s="217"/>
      <c r="R13" s="217"/>
    </row>
    <row r="14" spans="2:18" s="21" customFormat="1" ht="15.75" customHeight="1">
      <c r="B14" s="43">
        <v>44197</v>
      </c>
      <c r="C14" s="857">
        <v>300.08999999999997</v>
      </c>
      <c r="D14" s="857">
        <v>772.64</v>
      </c>
      <c r="E14" s="857">
        <v>759.54</v>
      </c>
      <c r="F14" s="857">
        <v>193.78</v>
      </c>
      <c r="G14" s="857">
        <v>313.19</v>
      </c>
      <c r="H14" s="218"/>
      <c r="I14" s="214"/>
      <c r="J14" s="215"/>
      <c r="K14" s="215"/>
      <c r="L14" s="215"/>
      <c r="M14" s="215"/>
      <c r="N14" s="216"/>
      <c r="Q14" s="212"/>
    </row>
    <row r="15" spans="2:18" s="21" customFormat="1" ht="15.75" customHeight="1">
      <c r="B15" s="43">
        <v>44228</v>
      </c>
      <c r="C15" s="666">
        <v>300.10000000000002</v>
      </c>
      <c r="D15" s="666">
        <v>773.44</v>
      </c>
      <c r="E15" s="666">
        <v>769.32</v>
      </c>
      <c r="F15" s="666">
        <v>194.84</v>
      </c>
      <c r="G15" s="666">
        <v>304.22000000000003</v>
      </c>
      <c r="H15" s="37"/>
      <c r="I15" s="45"/>
      <c r="N15" s="146"/>
    </row>
    <row r="16" spans="2:18" s="21" customFormat="1" ht="15.75" customHeight="1">
      <c r="B16" s="43">
        <v>44256</v>
      </c>
      <c r="C16" s="666">
        <v>300.29000000000002</v>
      </c>
      <c r="D16" s="666">
        <v>776.78</v>
      </c>
      <c r="E16" s="666">
        <v>775.89</v>
      </c>
      <c r="F16" s="666">
        <v>197.69</v>
      </c>
      <c r="G16" s="666">
        <v>301.19</v>
      </c>
      <c r="H16" s="481"/>
      <c r="I16" s="45"/>
      <c r="J16" s="37"/>
      <c r="K16" s="481"/>
    </row>
    <row r="17" spans="2:16" s="21" customFormat="1" ht="15.75" customHeight="1">
      <c r="B17" s="43">
        <v>44287</v>
      </c>
      <c r="C17" s="1052"/>
      <c r="D17" s="1052"/>
      <c r="E17" s="1052"/>
      <c r="F17" s="1052"/>
      <c r="G17" s="1052"/>
      <c r="H17" s="645"/>
      <c r="I17" s="134"/>
    </row>
    <row r="18" spans="2:16" s="21" customFormat="1" ht="21" customHeight="1">
      <c r="B18" s="1102" t="s">
        <v>465</v>
      </c>
      <c r="C18" s="1102"/>
      <c r="D18" s="1102"/>
      <c r="E18" s="1102"/>
      <c r="F18" s="1102"/>
      <c r="G18" s="1102"/>
      <c r="H18" s="178"/>
      <c r="J18" s="72"/>
    </row>
    <row r="19" spans="2:16" s="21" customFormat="1" ht="25.5" customHeight="1">
      <c r="B19" s="1102"/>
      <c r="C19" s="1102"/>
      <c r="D19" s="1102"/>
      <c r="E19" s="1102"/>
      <c r="F19" s="1102"/>
      <c r="G19" s="1102"/>
      <c r="H19" s="481"/>
      <c r="I19" s="134"/>
    </row>
    <row r="21" spans="2:16" ht="16.5" customHeight="1">
      <c r="J21" s="72"/>
      <c r="K21" s="21"/>
      <c r="L21" s="21"/>
      <c r="M21" s="21"/>
      <c r="N21" s="21"/>
      <c r="O21" s="21"/>
    </row>
    <row r="22" spans="2:16" ht="12.75">
      <c r="J22" s="72"/>
      <c r="K22" s="21"/>
      <c r="L22" s="21"/>
      <c r="M22" s="21"/>
      <c r="N22" s="21"/>
      <c r="O22" s="21"/>
    </row>
    <row r="23" spans="2:16" ht="15" customHeight="1">
      <c r="H23" s="9"/>
      <c r="I23" s="177"/>
      <c r="J23" s="72"/>
      <c r="K23" s="21"/>
      <c r="L23" s="21"/>
      <c r="M23" s="21"/>
      <c r="N23" s="21"/>
      <c r="O23" s="21"/>
    </row>
    <row r="24" spans="2:16" ht="9.75" customHeight="1">
      <c r="H24" s="9"/>
      <c r="J24" s="72"/>
      <c r="K24" s="21"/>
      <c r="L24" s="21"/>
      <c r="M24" s="21"/>
      <c r="N24" s="21"/>
      <c r="O24" s="21"/>
    </row>
    <row r="25" spans="2:16" ht="15" customHeight="1">
      <c r="H25" s="177"/>
      <c r="J25" s="72"/>
      <c r="K25" s="21"/>
      <c r="L25" s="21"/>
      <c r="M25" s="21"/>
      <c r="N25" s="21"/>
      <c r="O25" s="21"/>
    </row>
    <row r="26" spans="2:16" ht="15" customHeight="1">
      <c r="H26" s="8"/>
      <c r="J26" s="72"/>
      <c r="K26" s="21"/>
      <c r="L26" s="21"/>
      <c r="M26" s="21"/>
      <c r="N26" s="21"/>
      <c r="O26" s="21"/>
    </row>
    <row r="27" spans="2:16" ht="15" customHeight="1">
      <c r="H27" s="8"/>
      <c r="J27" s="72"/>
      <c r="K27" s="21"/>
      <c r="L27" s="21"/>
      <c r="M27" s="21"/>
      <c r="N27" s="21"/>
      <c r="O27" s="21"/>
    </row>
    <row r="28" spans="2:16" ht="15" customHeight="1">
      <c r="B28" s="16"/>
      <c r="C28" s="16"/>
      <c r="D28" s="16"/>
      <c r="E28" s="16"/>
      <c r="F28" s="16"/>
      <c r="H28" s="10"/>
      <c r="J28" s="72"/>
      <c r="K28" s="21"/>
      <c r="L28" s="45"/>
      <c r="M28" s="21"/>
      <c r="N28" s="21"/>
      <c r="O28" s="21"/>
    </row>
    <row r="29" spans="2:16" ht="15" customHeight="1">
      <c r="C29" s="16"/>
      <c r="D29" s="16"/>
      <c r="E29" s="16"/>
      <c r="F29" s="16"/>
      <c r="H29" s="10"/>
      <c r="J29" s="72"/>
      <c r="K29" s="21"/>
      <c r="L29" s="21"/>
      <c r="M29" s="21"/>
      <c r="N29" s="21"/>
      <c r="O29" s="21"/>
    </row>
    <row r="30" spans="2:16" ht="15" customHeight="1">
      <c r="H30" s="10"/>
      <c r="J30" s="72"/>
      <c r="K30" s="21"/>
      <c r="L30" s="40"/>
      <c r="M30" s="40"/>
      <c r="N30" s="40"/>
      <c r="O30" s="21"/>
    </row>
    <row r="31" spans="2:16" ht="15" customHeight="1">
      <c r="H31" s="10"/>
      <c r="J31" s="72"/>
      <c r="K31" s="21"/>
      <c r="L31" s="40"/>
      <c r="M31" s="40"/>
      <c r="N31" s="21"/>
      <c r="O31" s="21"/>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19"/>
      <c r="L35" s="14"/>
      <c r="M35" s="14"/>
      <c r="N35" s="14"/>
    </row>
    <row r="36" spans="2:14" ht="13.5" customHeight="1">
      <c r="B36" s="1" t="s">
        <v>476</v>
      </c>
      <c r="H36" s="10"/>
      <c r="I36" s="14"/>
      <c r="J36" s="14"/>
      <c r="K36" s="14"/>
      <c r="L36" s="14"/>
      <c r="M36" s="14"/>
      <c r="N36" s="14"/>
    </row>
    <row r="37" spans="2:14">
      <c r="B37" s="42"/>
      <c r="C37" s="9"/>
      <c r="D37" s="9"/>
      <c r="E37" s="9"/>
      <c r="F37" s="9"/>
      <c r="G37" s="9"/>
    </row>
    <row r="38" spans="2:14" ht="14.1" customHeight="1">
      <c r="B38" s="1097"/>
      <c r="C38" s="1097"/>
      <c r="D38" s="1097"/>
      <c r="E38" s="1097"/>
      <c r="F38" s="1097"/>
      <c r="G38" s="1097"/>
    </row>
    <row r="40" spans="2:14" ht="15.6" customHeight="1">
      <c r="B40" s="1096"/>
      <c r="C40" s="1096"/>
      <c r="D40" s="1096"/>
      <c r="E40" s="1096"/>
      <c r="F40" s="1096"/>
      <c r="G40" s="1096"/>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12"/>
      <c r="I54" s="212"/>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pageSetUpPr fitToPage="1"/>
  </sheetPr>
  <dimension ref="B1:S40"/>
  <sheetViews>
    <sheetView zoomScaleNormal="100" workbookViewId="0">
      <selection activeCell="I2" sqref="I2:K2"/>
    </sheetView>
  </sheetViews>
  <sheetFormatPr baseColWidth="10" defaultColWidth="10.90625" defaultRowHeight="12"/>
  <cols>
    <col min="1" max="1" width="0.7265625" style="142" customWidth="1"/>
    <col min="2" max="2" width="12.81640625" style="142" customWidth="1"/>
    <col min="3" max="10" width="6.26953125" style="142" customWidth="1"/>
    <col min="11" max="12" width="10.90625" style="144" customWidth="1"/>
    <col min="13" max="15" width="10.90625" style="960" customWidth="1"/>
    <col min="16" max="16" width="10.90625" style="959" customWidth="1"/>
    <col min="17" max="17" width="10.90625" style="142" customWidth="1"/>
    <col min="18" max="16384" width="10.90625" style="142"/>
  </cols>
  <sheetData>
    <row r="1" spans="2:19" s="141" customFormat="1" ht="12.75">
      <c r="B1" s="1098" t="s">
        <v>38</v>
      </c>
      <c r="C1" s="1098"/>
      <c r="D1" s="1098"/>
      <c r="E1" s="1098"/>
      <c r="F1" s="1098"/>
      <c r="G1" s="1098"/>
      <c r="H1" s="1098"/>
      <c r="I1" s="1098"/>
      <c r="J1" s="1098"/>
      <c r="K1" s="541"/>
      <c r="M1" s="952"/>
      <c r="N1" s="952"/>
      <c r="O1" s="953"/>
      <c r="P1" s="952"/>
    </row>
    <row r="2" spans="2:19" s="141" customFormat="1" ht="18">
      <c r="B2" s="836"/>
      <c r="C2" s="836"/>
      <c r="D2" s="836"/>
      <c r="E2" s="836"/>
      <c r="F2" s="836"/>
      <c r="G2" s="836"/>
      <c r="H2" s="836"/>
      <c r="I2" s="1053"/>
      <c r="J2" s="1053"/>
      <c r="K2" s="1054"/>
      <c r="L2" s="840"/>
      <c r="M2" s="954"/>
      <c r="N2" s="954"/>
      <c r="O2" s="955"/>
      <c r="P2" s="952"/>
    </row>
    <row r="3" spans="2:19" s="141" customFormat="1" ht="12.75">
      <c r="B3" s="1098" t="s">
        <v>458</v>
      </c>
      <c r="C3" s="1098"/>
      <c r="D3" s="1098"/>
      <c r="E3" s="1098"/>
      <c r="F3" s="1098"/>
      <c r="G3" s="1098"/>
      <c r="H3" s="1098"/>
      <c r="I3" s="1098"/>
      <c r="J3" s="1098"/>
      <c r="K3" s="541"/>
      <c r="L3" s="541"/>
      <c r="M3" s="953"/>
      <c r="N3" s="953"/>
      <c r="O3" s="953"/>
      <c r="P3" s="952"/>
    </row>
    <row r="4" spans="2:19" s="141" customFormat="1" ht="12.75">
      <c r="B4" s="1297" t="s">
        <v>676</v>
      </c>
      <c r="C4" s="1297"/>
      <c r="D4" s="1297"/>
      <c r="E4" s="1297"/>
      <c r="F4" s="1297"/>
      <c r="G4" s="1297"/>
      <c r="H4" s="1297"/>
      <c r="I4" s="1297"/>
      <c r="J4" s="1297"/>
      <c r="K4" s="541"/>
      <c r="L4" s="541"/>
      <c r="M4" s="953"/>
      <c r="N4" s="953"/>
      <c r="O4" s="953"/>
      <c r="P4" s="952"/>
    </row>
    <row r="5" spans="2:19" s="141" customFormat="1" ht="12.75">
      <c r="B5" s="1297" t="s">
        <v>221</v>
      </c>
      <c r="C5" s="1297"/>
      <c r="D5" s="1297"/>
      <c r="E5" s="1297"/>
      <c r="F5" s="1297"/>
      <c r="G5" s="1297"/>
      <c r="H5" s="1297"/>
      <c r="I5" s="1297"/>
      <c r="J5" s="1297"/>
      <c r="K5" s="541"/>
      <c r="L5" s="541"/>
      <c r="M5" s="953"/>
      <c r="N5" s="953"/>
      <c r="O5" s="953"/>
      <c r="P5" s="952"/>
    </row>
    <row r="6" spans="2:19" s="132" customFormat="1" ht="15.75" customHeight="1">
      <c r="B6" s="1294" t="s">
        <v>225</v>
      </c>
      <c r="C6" s="1293" t="s">
        <v>9</v>
      </c>
      <c r="D6" s="1293"/>
      <c r="E6" s="1293" t="s">
        <v>89</v>
      </c>
      <c r="F6" s="1293"/>
      <c r="G6" s="1293" t="s">
        <v>200</v>
      </c>
      <c r="H6" s="1293"/>
      <c r="I6" s="1294" t="s">
        <v>64</v>
      </c>
      <c r="J6" s="1294"/>
      <c r="K6" s="131"/>
      <c r="L6" s="131"/>
      <c r="M6" s="956"/>
      <c r="N6" s="956"/>
      <c r="O6" s="956"/>
      <c r="P6" s="957"/>
    </row>
    <row r="7" spans="2:19" s="132" customFormat="1" ht="15.75" customHeight="1">
      <c r="B7" s="1294"/>
      <c r="C7" s="841">
        <v>2020</v>
      </c>
      <c r="D7" s="841">
        <v>2021</v>
      </c>
      <c r="E7" s="841">
        <v>2020</v>
      </c>
      <c r="F7" s="841">
        <v>2021</v>
      </c>
      <c r="G7" s="841">
        <v>2020</v>
      </c>
      <c r="H7" s="841">
        <v>2021</v>
      </c>
      <c r="I7" s="841">
        <v>2020</v>
      </c>
      <c r="J7" s="841">
        <v>2021</v>
      </c>
      <c r="K7" s="131"/>
      <c r="L7" s="131"/>
      <c r="M7" s="956"/>
      <c r="N7" s="956"/>
      <c r="O7" s="956"/>
      <c r="P7" s="957"/>
    </row>
    <row r="8" spans="2:19" s="132" customFormat="1" ht="15.75" customHeight="1">
      <c r="B8" s="838" t="s">
        <v>47</v>
      </c>
      <c r="C8" s="315">
        <v>189839.38236000002</v>
      </c>
      <c r="D8" s="315">
        <v>51019.17</v>
      </c>
      <c r="E8" s="315">
        <v>1.69624</v>
      </c>
      <c r="F8" s="315">
        <v>20.8</v>
      </c>
      <c r="G8" s="315">
        <v>0</v>
      </c>
      <c r="H8" s="315">
        <v>118254.86</v>
      </c>
      <c r="I8" s="315">
        <v>189863.11424</v>
      </c>
      <c r="J8" s="315">
        <v>169319.18</v>
      </c>
      <c r="K8" s="131"/>
      <c r="L8" s="811"/>
      <c r="M8" s="956"/>
      <c r="N8" s="956"/>
      <c r="O8" s="956"/>
      <c r="P8" s="957"/>
      <c r="Q8" s="589"/>
      <c r="R8" s="589"/>
      <c r="S8" s="589"/>
    </row>
    <row r="9" spans="2:19" s="132" customFormat="1" ht="15.75" customHeight="1">
      <c r="B9" s="838" t="s">
        <v>48</v>
      </c>
      <c r="C9" s="315">
        <v>210074.27575999999</v>
      </c>
      <c r="D9" s="315">
        <v>59130.37</v>
      </c>
      <c r="E9" s="315">
        <v>0</v>
      </c>
      <c r="F9" s="315">
        <v>120126.537</v>
      </c>
      <c r="G9" s="315">
        <v>0</v>
      </c>
      <c r="H9" s="315">
        <v>49219.49</v>
      </c>
      <c r="I9" s="315">
        <v>210122.08674999996</v>
      </c>
      <c r="J9" s="315">
        <v>228790.80032999997</v>
      </c>
      <c r="K9" s="131"/>
      <c r="L9" s="811"/>
      <c r="M9" s="811"/>
      <c r="N9" s="811"/>
      <c r="O9" s="811"/>
      <c r="P9" s="589"/>
      <c r="Q9" s="589"/>
      <c r="R9" s="589"/>
      <c r="S9" s="589"/>
    </row>
    <row r="10" spans="2:19" s="132" customFormat="1" ht="15.75" customHeight="1">
      <c r="B10" s="838" t="s">
        <v>49</v>
      </c>
      <c r="C10" s="315">
        <v>151615.58809999999</v>
      </c>
      <c r="D10" s="315"/>
      <c r="E10" s="315">
        <v>84562.152000000002</v>
      </c>
      <c r="F10" s="315"/>
      <c r="G10" s="315">
        <v>0</v>
      </c>
      <c r="H10" s="315"/>
      <c r="I10" s="315">
        <v>236367.36278</v>
      </c>
      <c r="J10" s="1015"/>
      <c r="K10" s="131"/>
      <c r="L10" s="811"/>
      <c r="M10" s="811" t="s">
        <v>9</v>
      </c>
      <c r="N10" s="811" t="s">
        <v>226</v>
      </c>
      <c r="O10" s="811" t="s">
        <v>200</v>
      </c>
      <c r="P10" s="589" t="s">
        <v>59</v>
      </c>
      <c r="Q10" s="589"/>
      <c r="R10" s="589"/>
      <c r="S10" s="589"/>
    </row>
    <row r="11" spans="2:19" s="132" customFormat="1" ht="15.75" customHeight="1">
      <c r="B11" s="838" t="s">
        <v>57</v>
      </c>
      <c r="C11" s="315">
        <v>163505.37</v>
      </c>
      <c r="D11" s="315"/>
      <c r="E11" s="315">
        <v>60.279000000000003</v>
      </c>
      <c r="F11" s="315"/>
      <c r="G11" s="315">
        <v>0</v>
      </c>
      <c r="H11" s="315"/>
      <c r="I11" s="315">
        <v>163687.78844</v>
      </c>
      <c r="J11" s="1015"/>
      <c r="K11" s="131"/>
      <c r="L11" s="811"/>
      <c r="M11" s="1016">
        <f>D21</f>
        <v>0.27668118219165277</v>
      </c>
      <c r="N11" s="1016">
        <f>F21</f>
        <v>0.30179433557633467</v>
      </c>
      <c r="O11" s="1016">
        <f>H21</f>
        <v>0.42067357834430014</v>
      </c>
      <c r="P11" s="1017">
        <f>100%-M11-N11-O11</f>
        <v>8.5090388771236203E-4</v>
      </c>
      <c r="Q11" s="589"/>
      <c r="R11" s="589"/>
      <c r="S11" s="589"/>
    </row>
    <row r="12" spans="2:19" s="132" customFormat="1" ht="15.75" customHeight="1">
      <c r="B12" s="838" t="s">
        <v>58</v>
      </c>
      <c r="C12" s="315">
        <v>116350.62534</v>
      </c>
      <c r="D12" s="315"/>
      <c r="E12" s="315">
        <v>38022.053999999996</v>
      </c>
      <c r="F12" s="315"/>
      <c r="G12" s="315">
        <v>0</v>
      </c>
      <c r="H12" s="315"/>
      <c r="I12" s="315">
        <v>154544.45334000001</v>
      </c>
      <c r="J12" s="1015"/>
      <c r="K12" s="131"/>
      <c r="L12" s="811"/>
      <c r="M12" s="811"/>
      <c r="N12" s="811"/>
      <c r="O12" s="811"/>
      <c r="P12" s="589"/>
      <c r="Q12" s="589"/>
      <c r="R12" s="589"/>
      <c r="S12" s="589"/>
    </row>
    <row r="13" spans="2:19" s="132" customFormat="1" ht="15.75" customHeight="1">
      <c r="B13" s="838" t="s">
        <v>50</v>
      </c>
      <c r="C13" s="315">
        <v>160853.89499999999</v>
      </c>
      <c r="D13" s="315"/>
      <c r="E13" s="315">
        <v>15439.088</v>
      </c>
      <c r="F13" s="315"/>
      <c r="G13" s="315">
        <v>0</v>
      </c>
      <c r="H13" s="315"/>
      <c r="I13" s="315">
        <v>176351.1024</v>
      </c>
      <c r="J13" s="1015"/>
      <c r="K13" s="131"/>
      <c r="L13" s="811"/>
      <c r="M13" s="956"/>
      <c r="N13" s="956"/>
      <c r="O13" s="956"/>
      <c r="P13" s="957"/>
      <c r="Q13" s="589"/>
      <c r="R13" s="589"/>
      <c r="S13" s="589"/>
    </row>
    <row r="14" spans="2:19" s="132" customFormat="1" ht="15.75" customHeight="1">
      <c r="B14" s="838" t="s">
        <v>51</v>
      </c>
      <c r="C14" s="315">
        <v>301441.20145999995</v>
      </c>
      <c r="D14" s="315"/>
      <c r="E14" s="315">
        <v>12548.962</v>
      </c>
      <c r="F14" s="315"/>
      <c r="G14" s="315">
        <v>0</v>
      </c>
      <c r="H14" s="315"/>
      <c r="I14" s="315">
        <v>314078.46445999999</v>
      </c>
      <c r="J14" s="1015"/>
      <c r="K14" s="131"/>
      <c r="L14" s="131"/>
      <c r="M14" s="956"/>
      <c r="N14" s="956"/>
      <c r="O14" s="956"/>
      <c r="P14" s="957"/>
    </row>
    <row r="15" spans="2:19" s="132" customFormat="1" ht="15.75" customHeight="1">
      <c r="B15" s="838" t="s">
        <v>52</v>
      </c>
      <c r="C15" s="315">
        <v>318016.15999999997</v>
      </c>
      <c r="D15" s="315"/>
      <c r="E15" s="315">
        <v>2531.6480000000001</v>
      </c>
      <c r="F15" s="315"/>
      <c r="G15" s="315">
        <v>0</v>
      </c>
      <c r="H15" s="315"/>
      <c r="I15" s="315">
        <v>320739.91644</v>
      </c>
      <c r="J15" s="1015"/>
      <c r="K15" s="131"/>
      <c r="L15" s="131"/>
      <c r="M15" s="956"/>
      <c r="N15" s="956"/>
      <c r="O15" s="956"/>
      <c r="P15" s="957"/>
    </row>
    <row r="16" spans="2:19" s="132" customFormat="1" ht="15.75" customHeight="1">
      <c r="B16" s="838" t="s">
        <v>53</v>
      </c>
      <c r="C16" s="315">
        <v>84252.62</v>
      </c>
      <c r="D16" s="315"/>
      <c r="E16" s="315">
        <v>734.24</v>
      </c>
      <c r="F16" s="315"/>
      <c r="G16" s="315">
        <v>0</v>
      </c>
      <c r="H16" s="315"/>
      <c r="I16" s="315">
        <v>269826.26050999999</v>
      </c>
      <c r="J16" s="1015"/>
      <c r="K16" s="131"/>
      <c r="L16" s="131"/>
      <c r="M16" s="956"/>
      <c r="N16" s="956"/>
      <c r="O16" s="956"/>
      <c r="P16" s="957"/>
    </row>
    <row r="17" spans="2:16" s="132" customFormat="1" ht="15.75" customHeight="1">
      <c r="B17" s="838" t="s">
        <v>54</v>
      </c>
      <c r="C17" s="315">
        <v>349523.52799999999</v>
      </c>
      <c r="D17" s="315"/>
      <c r="E17" s="315">
        <v>1.8140399999999999</v>
      </c>
      <c r="F17" s="315"/>
      <c r="G17" s="315">
        <v>0</v>
      </c>
      <c r="H17" s="315"/>
      <c r="I17" s="315">
        <v>349715.25824</v>
      </c>
      <c r="J17" s="1015"/>
      <c r="K17" s="131"/>
      <c r="L17" s="131"/>
      <c r="M17" s="956"/>
      <c r="N17" s="956"/>
      <c r="O17" s="956"/>
      <c r="P17" s="957"/>
    </row>
    <row r="18" spans="2:16" s="132" customFormat="1" ht="15.75" customHeight="1">
      <c r="B18" s="838" t="s">
        <v>55</v>
      </c>
      <c r="C18" s="315">
        <v>156002.51</v>
      </c>
      <c r="D18" s="315"/>
      <c r="E18" s="315">
        <v>3.0679999999999999E-2</v>
      </c>
      <c r="F18" s="315"/>
      <c r="G18" s="315">
        <v>55736.11</v>
      </c>
      <c r="H18" s="315"/>
      <c r="I18" s="315">
        <v>211944.91768000001</v>
      </c>
      <c r="J18" s="1015"/>
      <c r="K18" s="131"/>
      <c r="L18" s="842"/>
      <c r="M18" s="958"/>
      <c r="N18" s="958"/>
      <c r="O18" s="958"/>
      <c r="P18" s="957"/>
    </row>
    <row r="19" spans="2:16" s="132" customFormat="1" ht="15.75" customHeight="1">
      <c r="B19" s="838" t="s">
        <v>56</v>
      </c>
      <c r="C19" s="315">
        <v>64811.86</v>
      </c>
      <c r="D19" s="315"/>
      <c r="E19" s="315">
        <v>0</v>
      </c>
      <c r="F19" s="315"/>
      <c r="G19" s="315">
        <v>125736.11</v>
      </c>
      <c r="H19" s="315"/>
      <c r="I19" s="315">
        <v>190765.81400000001</v>
      </c>
      <c r="J19" s="1015"/>
      <c r="K19" s="131"/>
      <c r="L19" s="131"/>
      <c r="M19" s="956"/>
      <c r="N19" s="956"/>
      <c r="O19" s="956"/>
      <c r="P19" s="957"/>
    </row>
    <row r="20" spans="2:16" s="132" customFormat="1" ht="15.75" customHeight="1">
      <c r="B20" s="838" t="s">
        <v>64</v>
      </c>
      <c r="C20" s="315">
        <f>SUM(C8:C19)</f>
        <v>2266287.0160199995</v>
      </c>
      <c r="D20" s="315">
        <f t="shared" ref="D20:J20" si="0">SUM(D8:D19)</f>
        <v>110149.54000000001</v>
      </c>
      <c r="E20" s="315">
        <f t="shared" si="0"/>
        <v>153901.96395999996</v>
      </c>
      <c r="F20" s="315">
        <f t="shared" si="0"/>
        <v>120147.337</v>
      </c>
      <c r="G20" s="315">
        <f t="shared" si="0"/>
        <v>181472.22</v>
      </c>
      <c r="H20" s="315">
        <f t="shared" si="0"/>
        <v>167474.35</v>
      </c>
      <c r="I20" s="315">
        <f t="shared" si="0"/>
        <v>2788006.5392800001</v>
      </c>
      <c r="J20" s="315">
        <f t="shared" si="0"/>
        <v>398109.98032999993</v>
      </c>
      <c r="K20" s="843"/>
      <c r="L20" s="131"/>
      <c r="M20" s="956"/>
      <c r="N20" s="956"/>
      <c r="O20" s="956"/>
      <c r="P20" s="957"/>
    </row>
    <row r="21" spans="2:16" s="132" customFormat="1" ht="15.75" customHeight="1">
      <c r="B21" s="839" t="s">
        <v>227</v>
      </c>
      <c r="C21" s="343">
        <f>C20/$I20</f>
        <v>0.81287005037128279</v>
      </c>
      <c r="D21" s="783">
        <f>D20/$J20</f>
        <v>0.27668118219165277</v>
      </c>
      <c r="E21" s="783">
        <f>E20/$I20</f>
        <v>5.5201435789940793E-2</v>
      </c>
      <c r="F21" s="783">
        <f>F20/$J20</f>
        <v>0.30179433557633467</v>
      </c>
      <c r="G21" s="343">
        <f>G20/I20</f>
        <v>6.5090313614137016E-2</v>
      </c>
      <c r="H21" s="343">
        <f>H20/$J20</f>
        <v>0.42067357834430014</v>
      </c>
      <c r="I21" s="343">
        <f>+I20/I20</f>
        <v>1</v>
      </c>
      <c r="J21" s="343">
        <f>+J20/J20</f>
        <v>1</v>
      </c>
      <c r="K21" s="131"/>
      <c r="L21" s="131"/>
      <c r="M21" s="956"/>
      <c r="N21" s="956"/>
      <c r="O21" s="956"/>
      <c r="P21" s="957"/>
    </row>
    <row r="22" spans="2:16" s="132" customFormat="1" ht="28.5" customHeight="1">
      <c r="B22" s="1296" t="s">
        <v>420</v>
      </c>
      <c r="C22" s="1296"/>
      <c r="D22" s="1296"/>
      <c r="E22" s="1296"/>
      <c r="F22" s="1296"/>
      <c r="G22" s="1296"/>
      <c r="H22" s="1296"/>
      <c r="I22" s="1296"/>
      <c r="J22" s="1296"/>
      <c r="K22" s="131"/>
      <c r="L22" s="131"/>
      <c r="M22" s="956"/>
      <c r="N22" s="956"/>
      <c r="O22" s="956"/>
      <c r="P22" s="957"/>
    </row>
    <row r="23" spans="2:16" ht="15" customHeight="1">
      <c r="B23" s="844"/>
      <c r="C23" s="844"/>
      <c r="D23" s="844"/>
      <c r="E23" s="844"/>
      <c r="F23" s="844"/>
      <c r="G23" s="844"/>
      <c r="H23" s="844"/>
      <c r="I23" s="844"/>
      <c r="J23" s="844"/>
      <c r="K23" s="142"/>
      <c r="L23" s="142"/>
      <c r="M23" s="959"/>
      <c r="N23" s="959"/>
    </row>
    <row r="24" spans="2:16" ht="15" customHeight="1">
      <c r="K24" s="142"/>
      <c r="L24" s="142"/>
      <c r="N24" s="959"/>
    </row>
    <row r="25" spans="2:16" ht="15" customHeight="1">
      <c r="K25" s="142"/>
      <c r="L25" s="142"/>
      <c r="M25" s="959"/>
      <c r="N25" s="959"/>
    </row>
    <row r="26" spans="2:16" ht="15" customHeight="1">
      <c r="K26" s="142"/>
      <c r="L26" s="142"/>
      <c r="M26" s="959"/>
      <c r="N26" s="959"/>
    </row>
    <row r="27" spans="2:16" ht="15" customHeight="1">
      <c r="K27" s="142"/>
      <c r="L27" s="142"/>
      <c r="M27" s="959"/>
      <c r="N27" s="959"/>
    </row>
    <row r="28" spans="2:16" ht="15" customHeight="1">
      <c r="K28" s="142"/>
      <c r="L28" s="142"/>
      <c r="M28" s="959"/>
      <c r="N28" s="959"/>
    </row>
    <row r="29" spans="2:16" ht="15" customHeight="1">
      <c r="K29" s="142"/>
      <c r="L29" s="142"/>
      <c r="M29" s="959"/>
      <c r="N29" s="959"/>
    </row>
    <row r="30" spans="2:16" ht="15" customHeight="1">
      <c r="K30" s="142"/>
      <c r="L30" s="142"/>
      <c r="M30" s="959"/>
      <c r="N30" s="959"/>
    </row>
    <row r="31" spans="2:16" ht="15" customHeight="1">
      <c r="K31" s="142"/>
      <c r="L31" s="142"/>
      <c r="M31" s="959"/>
      <c r="N31" s="959"/>
    </row>
    <row r="32" spans="2:16" ht="15" customHeight="1">
      <c r="K32" s="142"/>
      <c r="L32" s="142"/>
      <c r="M32" s="959"/>
      <c r="N32" s="959"/>
    </row>
    <row r="33" spans="2:14" ht="15" customHeight="1">
      <c r="K33" s="142"/>
      <c r="L33" s="142"/>
      <c r="M33" s="959"/>
      <c r="N33" s="959"/>
    </row>
    <row r="34" spans="2:14" ht="15" customHeight="1">
      <c r="K34" s="142"/>
      <c r="L34" s="142"/>
      <c r="M34" s="959"/>
      <c r="N34" s="959"/>
    </row>
    <row r="35" spans="2:14" ht="15" customHeight="1">
      <c r="D35" s="142" t="s">
        <v>228</v>
      </c>
      <c r="K35" s="142"/>
      <c r="L35" s="142"/>
      <c r="M35" s="959"/>
      <c r="N35" s="959"/>
    </row>
    <row r="36" spans="2:14" ht="15" customHeight="1">
      <c r="K36" s="142"/>
      <c r="L36" s="142"/>
      <c r="M36" s="959"/>
      <c r="N36" s="959"/>
    </row>
    <row r="37" spans="2:14" ht="15" customHeight="1">
      <c r="K37" s="142"/>
      <c r="L37" s="142"/>
      <c r="M37" s="959"/>
      <c r="N37" s="959"/>
    </row>
    <row r="38" spans="2:14" ht="15" customHeight="1">
      <c r="K38" s="142"/>
      <c r="L38" s="142"/>
      <c r="M38" s="959"/>
      <c r="N38" s="959"/>
    </row>
    <row r="40" spans="2:14">
      <c r="B40" s="1295" t="s">
        <v>420</v>
      </c>
      <c r="C40" s="1295"/>
      <c r="D40" s="1295"/>
      <c r="E40" s="1295"/>
      <c r="F40" s="1295"/>
      <c r="G40" s="1295"/>
      <c r="H40" s="1295"/>
      <c r="I40" s="1295"/>
      <c r="J40" s="1295"/>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H21 C20:J20"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pageSetUpPr fitToPage="1"/>
  </sheetPr>
  <dimension ref="B1:Q36"/>
  <sheetViews>
    <sheetView topLeftCell="A7" zoomScaleNormal="100" workbookViewId="0">
      <selection activeCell="I25" sqref="I25"/>
    </sheetView>
  </sheetViews>
  <sheetFormatPr baseColWidth="10" defaultColWidth="10.90625" defaultRowHeight="12"/>
  <cols>
    <col min="1" max="1" width="4.54296875" style="1" customWidth="1"/>
    <col min="2" max="6" width="10.6328125" style="1" customWidth="1"/>
    <col min="7" max="16384" width="10.90625" style="1"/>
  </cols>
  <sheetData>
    <row r="1" spans="2:17" s="35" customFormat="1" ht="12.75" customHeight="1">
      <c r="B1" s="1108" t="s">
        <v>76</v>
      </c>
      <c r="C1" s="1108"/>
      <c r="D1" s="1108"/>
      <c r="E1" s="1108"/>
      <c r="F1" s="1108"/>
    </row>
    <row r="2" spans="2:17" s="35" customFormat="1" ht="12.75">
      <c r="B2" s="289"/>
      <c r="C2" s="289"/>
      <c r="D2" s="289"/>
      <c r="E2" s="289"/>
      <c r="F2" s="289"/>
    </row>
    <row r="3" spans="2:17" s="35" customFormat="1" ht="12.75">
      <c r="B3" s="1107" t="s">
        <v>459</v>
      </c>
      <c r="C3" s="1107"/>
      <c r="D3" s="1107"/>
      <c r="E3" s="1107"/>
      <c r="F3" s="1107"/>
    </row>
    <row r="4" spans="2:17" s="35" customFormat="1" ht="12.75">
      <c r="B4" s="1298" t="s">
        <v>684</v>
      </c>
      <c r="C4" s="1298"/>
      <c r="D4" s="1298"/>
      <c r="E4" s="1298"/>
      <c r="F4" s="1298"/>
    </row>
    <row r="5" spans="2:17" s="35" customFormat="1" ht="15" customHeight="1">
      <c r="B5" s="1107" t="s">
        <v>221</v>
      </c>
      <c r="C5" s="1107"/>
      <c r="D5" s="1107"/>
      <c r="E5" s="1107"/>
      <c r="F5" s="1107"/>
    </row>
    <row r="6" spans="2:17" s="35" customFormat="1" ht="60" customHeight="1">
      <c r="B6" s="345" t="s">
        <v>230</v>
      </c>
      <c r="C6" s="257" t="s">
        <v>231</v>
      </c>
      <c r="D6" s="257">
        <v>11042300</v>
      </c>
      <c r="E6" s="749" t="s">
        <v>232</v>
      </c>
      <c r="F6" s="257" t="s">
        <v>233</v>
      </c>
    </row>
    <row r="7" spans="2:17" s="35" customFormat="1" ht="39.75" customHeight="1">
      <c r="B7" s="345" t="s">
        <v>160</v>
      </c>
      <c r="C7" s="257" t="s">
        <v>234</v>
      </c>
      <c r="D7" s="257" t="s">
        <v>235</v>
      </c>
      <c r="E7" s="257" t="s">
        <v>236</v>
      </c>
      <c r="F7" s="257" t="s">
        <v>237</v>
      </c>
    </row>
    <row r="8" spans="2:17" s="35" customFormat="1" ht="15.75" customHeight="1">
      <c r="B8" s="750">
        <v>2016</v>
      </c>
      <c r="C8" s="346">
        <v>1462676.1939999999</v>
      </c>
      <c r="D8" s="346">
        <v>15733.459000000001</v>
      </c>
      <c r="E8" s="346">
        <v>27159.784</v>
      </c>
      <c r="F8" s="346">
        <v>227386</v>
      </c>
      <c r="M8" s="191"/>
      <c r="N8" s="191"/>
      <c r="O8" s="191"/>
      <c r="P8" s="191"/>
      <c r="Q8" s="191"/>
    </row>
    <row r="9" spans="2:17" s="35" customFormat="1" ht="15.75" customHeight="1">
      <c r="B9" s="751" t="s">
        <v>428</v>
      </c>
      <c r="C9" s="346">
        <v>1590526.189</v>
      </c>
      <c r="D9" s="346">
        <v>6718.7069999999994</v>
      </c>
      <c r="E9" s="346">
        <v>53655.113000000005</v>
      </c>
      <c r="F9" s="346">
        <v>104092</v>
      </c>
      <c r="M9" s="191"/>
      <c r="N9" s="191"/>
      <c r="O9" s="191"/>
      <c r="P9" s="191"/>
      <c r="Q9" s="191"/>
    </row>
    <row r="10" spans="2:17" s="35" customFormat="1" ht="15.75" customHeight="1">
      <c r="B10" s="751" t="s">
        <v>464</v>
      </c>
      <c r="C10" s="346">
        <v>1918486.1880699999</v>
      </c>
      <c r="D10" s="346">
        <v>5892.6107100000008</v>
      </c>
      <c r="E10" s="346">
        <v>49561.083280000006</v>
      </c>
      <c r="F10" s="346">
        <v>107022.41454</v>
      </c>
      <c r="H10" s="191"/>
    </row>
    <row r="11" spans="2:17" s="35" customFormat="1" ht="15.75" customHeight="1">
      <c r="B11" s="751" t="s">
        <v>517</v>
      </c>
      <c r="C11" s="346">
        <v>2366708</v>
      </c>
      <c r="D11" s="346">
        <v>9269.3809999999994</v>
      </c>
      <c r="E11" s="346">
        <v>30978.243129999999</v>
      </c>
      <c r="F11" s="346">
        <v>41359.577440000001</v>
      </c>
      <c r="H11" s="191"/>
    </row>
    <row r="12" spans="2:17" s="35" customFormat="1" ht="15.75" customHeight="1">
      <c r="B12" s="751" t="s">
        <v>518</v>
      </c>
      <c r="C12" s="346">
        <v>2788006.5392800001</v>
      </c>
      <c r="D12" s="346">
        <v>38067.715980000001</v>
      </c>
      <c r="E12" s="346">
        <v>14745.50964</v>
      </c>
      <c r="F12" s="346">
        <v>42658.128199999999</v>
      </c>
      <c r="H12" s="191"/>
    </row>
    <row r="13" spans="2:17" s="35" customFormat="1" ht="15.75" customHeight="1">
      <c r="B13" s="751" t="s">
        <v>685</v>
      </c>
      <c r="C13" s="346">
        <v>398109.98032999993</v>
      </c>
      <c r="D13" s="346">
        <v>15065.2608</v>
      </c>
      <c r="E13" s="346">
        <v>7707.89012</v>
      </c>
      <c r="F13" s="346">
        <v>9619.0177899999999</v>
      </c>
      <c r="H13" s="191"/>
    </row>
    <row r="14" spans="2:17" ht="29.45" customHeight="1">
      <c r="B14" s="1138" t="s">
        <v>728</v>
      </c>
      <c r="C14" s="1138"/>
      <c r="D14" s="1138"/>
      <c r="E14" s="1138"/>
      <c r="F14" s="1138"/>
    </row>
    <row r="15" spans="2:17" s="34" customFormat="1" ht="12" customHeight="1">
      <c r="B15" s="179"/>
      <c r="C15" s="347"/>
      <c r="D15" s="347"/>
      <c r="E15" s="347"/>
      <c r="F15" s="347"/>
    </row>
    <row r="16" spans="2:17" s="34" customFormat="1" ht="12" customHeight="1">
      <c r="C16" s="348"/>
      <c r="D16" s="348"/>
      <c r="E16" s="348"/>
    </row>
    <row r="17" spans="2:6" s="34" customFormat="1" ht="12" customHeight="1">
      <c r="C17" s="348"/>
      <c r="D17" s="348"/>
      <c r="E17" s="348"/>
    </row>
    <row r="32" spans="2:6">
      <c r="B32" s="809"/>
      <c r="C32" s="809"/>
      <c r="D32" s="809"/>
      <c r="E32" s="809"/>
      <c r="F32" s="809"/>
    </row>
    <row r="33" spans="2:6">
      <c r="B33" s="809"/>
      <c r="C33" s="809"/>
      <c r="D33" s="809"/>
      <c r="E33" s="809"/>
      <c r="F33" s="809"/>
    </row>
    <row r="34" spans="2:6">
      <c r="B34" s="809"/>
      <c r="C34" s="809"/>
      <c r="D34" s="809"/>
      <c r="E34" s="809"/>
      <c r="F34" s="809"/>
    </row>
    <row r="35" spans="2:6" ht="16.5" customHeight="1">
      <c r="B35" s="810"/>
      <c r="C35" s="809"/>
      <c r="D35" s="809"/>
      <c r="E35" s="809"/>
      <c r="F35" s="809"/>
    </row>
    <row r="36" spans="2:6">
      <c r="B36" s="809"/>
      <c r="C36" s="809"/>
      <c r="D36" s="809"/>
      <c r="E36" s="809"/>
      <c r="F36" s="809"/>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9: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pageSetUpPr fitToPage="1"/>
  </sheetPr>
  <dimension ref="C1:AA37"/>
  <sheetViews>
    <sheetView topLeftCell="A7" zoomScaleNormal="100" workbookViewId="0">
      <selection activeCell="I15" sqref="I15"/>
    </sheetView>
  </sheetViews>
  <sheetFormatPr baseColWidth="10" defaultColWidth="10.90625" defaultRowHeight="12"/>
  <cols>
    <col min="1" max="1" width="1" style="142" customWidth="1"/>
    <col min="2" max="2" width="1.7265625" style="142" customWidth="1"/>
    <col min="3" max="7" width="11.7265625" style="142" customWidth="1"/>
    <col min="8" max="8" width="2.1796875" style="142" customWidth="1"/>
    <col min="9" max="16384" width="10.90625" style="142"/>
  </cols>
  <sheetData>
    <row r="1" spans="3:27" s="296" customFormat="1" ht="18" customHeight="1">
      <c r="C1" s="1142" t="s">
        <v>77</v>
      </c>
      <c r="D1" s="1142"/>
      <c r="E1" s="1142"/>
      <c r="F1" s="1142"/>
      <c r="G1" s="1142"/>
      <c r="H1" s="231"/>
    </row>
    <row r="2" spans="3:27" s="296" customFormat="1" ht="12.75"/>
    <row r="3" spans="3:27" s="296" customFormat="1" ht="30" customHeight="1">
      <c r="C3" s="1142" t="s">
        <v>460</v>
      </c>
      <c r="D3" s="1142"/>
      <c r="E3" s="1142"/>
      <c r="F3" s="1142"/>
      <c r="G3" s="1142"/>
      <c r="H3" s="349"/>
    </row>
    <row r="4" spans="3:27" s="296" customFormat="1" ht="18" customHeight="1">
      <c r="C4" s="1300" t="s">
        <v>684</v>
      </c>
      <c r="D4" s="1300"/>
      <c r="E4" s="1300"/>
      <c r="F4" s="1300"/>
      <c r="G4" s="1300"/>
      <c r="H4" s="350"/>
    </row>
    <row r="5" spans="3:27" s="296" customFormat="1" ht="17.25" customHeight="1">
      <c r="C5" s="1300" t="s">
        <v>463</v>
      </c>
      <c r="D5" s="1300"/>
      <c r="E5" s="1300"/>
      <c r="F5" s="1300"/>
      <c r="G5" s="1300"/>
      <c r="H5" s="350"/>
    </row>
    <row r="6" spans="3:27" s="132" customFormat="1" ht="44.25" customHeight="1">
      <c r="C6" s="741" t="str">
        <f>'38'!B6</f>
        <v>Código aduanas</v>
      </c>
      <c r="D6" s="741" t="str">
        <f>'38'!C6</f>
        <v>10059000 10059020 10059090</v>
      </c>
      <c r="E6" s="741">
        <f>'38'!D6</f>
        <v>11042300</v>
      </c>
      <c r="F6" s="741" t="str">
        <f>'38'!E6</f>
        <v>10070090 10079010 10079090</v>
      </c>
      <c r="G6" s="741" t="str">
        <f>'38'!F6</f>
        <v>23099060 23099080</v>
      </c>
      <c r="H6" s="231"/>
    </row>
    <row r="7" spans="3:27" s="132" customFormat="1" ht="37.5" customHeight="1">
      <c r="C7" s="742" t="s">
        <v>160</v>
      </c>
      <c r="D7" s="741" t="str">
        <f>'38'!C7</f>
        <v>Maíz grano</v>
      </c>
      <c r="E7" s="741" t="str">
        <f>'38'!D7</f>
        <v>Maíz partido</v>
      </c>
      <c r="F7" s="741" t="str">
        <f>'38'!E7</f>
        <v>Sorgo</v>
      </c>
      <c r="G7" s="741" t="str">
        <f>'38'!F7</f>
        <v>Preparaciones que contienen maíz</v>
      </c>
      <c r="H7" s="231"/>
    </row>
    <row r="8" spans="3:27" s="132" customFormat="1" ht="15.75" customHeight="1">
      <c r="C8" s="752">
        <v>2016</v>
      </c>
      <c r="D8" s="315">
        <v>191</v>
      </c>
      <c r="E8" s="315">
        <v>207</v>
      </c>
      <c r="F8" s="315">
        <v>186</v>
      </c>
      <c r="G8" s="315">
        <v>356</v>
      </c>
      <c r="H8" s="352"/>
      <c r="K8" s="435"/>
      <c r="N8" s="435"/>
      <c r="O8" s="435"/>
      <c r="P8" s="435"/>
      <c r="Q8" s="435"/>
      <c r="R8" s="435"/>
      <c r="S8" s="435"/>
      <c r="T8" s="435"/>
      <c r="U8" s="435"/>
      <c r="V8" s="435"/>
      <c r="W8" s="435"/>
      <c r="X8" s="435"/>
      <c r="Y8" s="435"/>
      <c r="Z8" s="435"/>
      <c r="AA8" s="435"/>
    </row>
    <row r="9" spans="3:27" s="132" customFormat="1" ht="15.75" customHeight="1">
      <c r="C9" s="752">
        <v>2017</v>
      </c>
      <c r="D9" s="315">
        <v>186</v>
      </c>
      <c r="E9" s="315">
        <v>287</v>
      </c>
      <c r="F9" s="315">
        <v>178</v>
      </c>
      <c r="G9" s="315">
        <v>351</v>
      </c>
      <c r="H9" s="352"/>
      <c r="K9" s="435"/>
      <c r="L9" s="435"/>
      <c r="N9" s="435"/>
      <c r="O9" s="435"/>
      <c r="P9" s="435"/>
      <c r="Q9" s="435"/>
      <c r="R9" s="435"/>
      <c r="S9" s="435"/>
      <c r="T9" s="435"/>
      <c r="U9" s="435"/>
      <c r="V9" s="435"/>
      <c r="W9" s="435"/>
      <c r="X9" s="435"/>
      <c r="Y9" s="435"/>
      <c r="Z9" s="435"/>
      <c r="AA9" s="435"/>
    </row>
    <row r="10" spans="3:27" s="132" customFormat="1" ht="15.75" customHeight="1">
      <c r="C10" s="753" t="s">
        <v>464</v>
      </c>
      <c r="D10" s="315">
        <v>199.70353882694357</v>
      </c>
      <c r="E10" s="315">
        <v>342.94811407654373</v>
      </c>
      <c r="F10" s="315">
        <v>169.25566820801745</v>
      </c>
      <c r="G10" s="315">
        <v>399.55360741689088</v>
      </c>
      <c r="H10" s="352"/>
      <c r="L10" s="435"/>
    </row>
    <row r="11" spans="3:27" s="132" customFormat="1" ht="15.75" customHeight="1">
      <c r="C11" s="753" t="s">
        <v>473</v>
      </c>
      <c r="D11" s="754">
        <v>186.92843269842436</v>
      </c>
      <c r="E11" s="754">
        <v>345.8535247035349</v>
      </c>
      <c r="F11" s="759">
        <v>207.776432</v>
      </c>
      <c r="G11" s="754">
        <v>393.02788645411334</v>
      </c>
      <c r="H11" s="352"/>
      <c r="L11" s="435"/>
    </row>
    <row r="12" spans="3:27" s="132" customFormat="1" ht="15.75" customHeight="1">
      <c r="C12" s="753" t="s">
        <v>518</v>
      </c>
      <c r="D12" s="754">
        <v>201.97715188307643</v>
      </c>
      <c r="E12" s="754">
        <v>257.31901991061619</v>
      </c>
      <c r="F12" s="759">
        <v>200.62101157614845</v>
      </c>
      <c r="G12" s="754">
        <v>382.46888508762504</v>
      </c>
      <c r="H12" s="352"/>
      <c r="L12" s="435"/>
    </row>
    <row r="13" spans="3:27" s="132" customFormat="1" ht="15.75" customHeight="1">
      <c r="C13" s="753" t="s">
        <v>685</v>
      </c>
      <c r="D13" s="754">
        <v>275.70533211570239</v>
      </c>
      <c r="E13" s="754">
        <v>266.1482851461289</v>
      </c>
      <c r="F13" s="754">
        <v>224.55381422945428</v>
      </c>
      <c r="G13" s="754">
        <v>496.7190129790983</v>
      </c>
      <c r="H13" s="352"/>
      <c r="L13" s="435"/>
    </row>
    <row r="14" spans="3:27" ht="26.25" customHeight="1">
      <c r="C14" s="1296" t="s">
        <v>729</v>
      </c>
      <c r="D14" s="1296"/>
      <c r="E14" s="1296"/>
      <c r="F14" s="1296"/>
      <c r="G14" s="1296"/>
      <c r="H14" s="353"/>
      <c r="I14" s="664"/>
    </row>
    <row r="15" spans="3:27" ht="19.5" customHeight="1"/>
    <row r="36" spans="3:7" ht="7.5" customHeight="1"/>
    <row r="37" spans="3:7" ht="17.25" customHeight="1">
      <c r="C37" s="1295" t="s">
        <v>421</v>
      </c>
      <c r="D37" s="1299"/>
      <c r="E37" s="1299"/>
      <c r="F37" s="1299"/>
      <c r="G37" s="1299"/>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0: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pageSetUpPr fitToPage="1"/>
  </sheetPr>
  <dimension ref="B1:O176"/>
  <sheetViews>
    <sheetView topLeftCell="A10" zoomScaleNormal="100" workbookViewId="0">
      <selection activeCell="J31" sqref="J31"/>
    </sheetView>
  </sheetViews>
  <sheetFormatPr baseColWidth="10" defaultColWidth="10.90625" defaultRowHeight="12" customHeight="1"/>
  <cols>
    <col min="1" max="1" width="0.7265625" style="142" customWidth="1"/>
    <col min="2" max="7" width="8.81640625" style="1" customWidth="1"/>
    <col min="8" max="16384" width="10.90625" style="142"/>
  </cols>
  <sheetData>
    <row r="1" spans="2:15" s="141" customFormat="1" ht="12.75">
      <c r="B1" s="1104" t="s">
        <v>78</v>
      </c>
      <c r="C1" s="1104"/>
      <c r="D1" s="1104"/>
      <c r="E1" s="1104"/>
      <c r="F1" s="1104"/>
      <c r="G1" s="1104"/>
    </row>
    <row r="2" spans="2:15" s="141" customFormat="1" ht="12.75">
      <c r="B2" s="31"/>
      <c r="C2" s="32"/>
      <c r="D2" s="23"/>
      <c r="E2" s="23"/>
      <c r="F2" s="23"/>
      <c r="G2" s="23"/>
    </row>
    <row r="3" spans="2:15" s="141" customFormat="1" ht="12.75">
      <c r="B3" s="1104" t="s">
        <v>439</v>
      </c>
      <c r="C3" s="1104"/>
      <c r="D3" s="1104"/>
      <c r="E3" s="1104"/>
      <c r="F3" s="1104"/>
      <c r="G3" s="1104"/>
    </row>
    <row r="4" spans="2:15" s="141" customFormat="1" ht="12.75">
      <c r="B4" s="1104" t="s">
        <v>686</v>
      </c>
      <c r="C4" s="1104"/>
      <c r="D4" s="1104"/>
      <c r="E4" s="1104"/>
      <c r="F4" s="1104"/>
      <c r="G4" s="1104"/>
    </row>
    <row r="5" spans="2:15" s="141" customFormat="1" ht="12.75">
      <c r="B5" s="1101" t="s">
        <v>239</v>
      </c>
      <c r="C5" s="1101"/>
      <c r="D5" s="1101"/>
      <c r="E5" s="1101"/>
      <c r="F5" s="1101"/>
      <c r="G5" s="1101"/>
    </row>
    <row r="6" spans="2:15" s="132" customFormat="1" ht="15.75" customHeight="1">
      <c r="B6" s="286"/>
      <c r="C6" s="272">
        <v>2017</v>
      </c>
      <c r="D6" s="272">
        <v>2018</v>
      </c>
      <c r="E6" s="540">
        <v>2019</v>
      </c>
      <c r="F6" s="540">
        <v>2020</v>
      </c>
      <c r="G6" s="540">
        <v>2021</v>
      </c>
      <c r="H6" s="344"/>
      <c r="I6" s="354"/>
      <c r="J6" s="138"/>
      <c r="K6" s="138"/>
      <c r="L6" s="138"/>
      <c r="M6" s="138"/>
      <c r="N6" s="138"/>
      <c r="O6" s="138"/>
    </row>
    <row r="7" spans="2:15" s="132" customFormat="1" ht="15.75" customHeight="1">
      <c r="B7" s="96" t="s">
        <v>47</v>
      </c>
      <c r="C7" s="527">
        <v>14627.272727272728</v>
      </c>
      <c r="D7" s="527">
        <v>12520.689655172413</v>
      </c>
      <c r="E7" s="527">
        <v>16500</v>
      </c>
      <c r="F7" s="527">
        <v>14667</v>
      </c>
      <c r="G7" s="527"/>
      <c r="H7" s="436"/>
      <c r="I7" s="788"/>
      <c r="J7" s="436"/>
      <c r="K7" s="436"/>
      <c r="L7" s="436"/>
      <c r="M7" s="436"/>
      <c r="N7" s="138"/>
      <c r="O7" s="138"/>
    </row>
    <row r="8" spans="2:15" s="132" customFormat="1" ht="15.75" customHeight="1">
      <c r="B8" s="96" t="s">
        <v>48</v>
      </c>
      <c r="C8" s="527">
        <v>14786.666666666668</v>
      </c>
      <c r="D8" s="527">
        <v>12833.333333333334</v>
      </c>
      <c r="E8" s="527"/>
      <c r="F8" s="527">
        <v>14667</v>
      </c>
      <c r="G8" s="527"/>
      <c r="H8" s="436"/>
      <c r="I8" s="789"/>
      <c r="J8" s="436"/>
      <c r="K8" s="436"/>
      <c r="L8" s="436"/>
      <c r="M8" s="436"/>
      <c r="N8" s="138"/>
      <c r="O8" s="138"/>
    </row>
    <row r="9" spans="2:15" s="132" customFormat="1" ht="15.75" customHeight="1">
      <c r="B9" s="150" t="s">
        <v>49</v>
      </c>
      <c r="C9" s="527">
        <v>13878.947368421052</v>
      </c>
      <c r="D9" s="527">
        <v>12913</v>
      </c>
      <c r="E9" s="527">
        <v>13061.904761904761</v>
      </c>
      <c r="F9" s="527">
        <v>15658.064516129034</v>
      </c>
      <c r="G9" s="527"/>
      <c r="H9" s="436"/>
      <c r="I9" s="436"/>
      <c r="J9" s="436"/>
      <c r="K9" s="436"/>
      <c r="L9" s="436"/>
      <c r="M9" s="436"/>
      <c r="N9" s="138"/>
      <c r="O9" s="138"/>
    </row>
    <row r="10" spans="2:15" s="132" customFormat="1" ht="15.75" customHeight="1">
      <c r="B10" s="533" t="s">
        <v>57</v>
      </c>
      <c r="C10" s="527">
        <v>12795.192307692309</v>
      </c>
      <c r="D10" s="527">
        <v>12711</v>
      </c>
      <c r="E10" s="527">
        <v>12764.516129032258</v>
      </c>
      <c r="F10" s="527">
        <v>16630</v>
      </c>
      <c r="G10" s="527"/>
      <c r="H10" s="436"/>
      <c r="I10" s="436"/>
      <c r="J10" s="436"/>
      <c r="K10" s="436"/>
      <c r="L10" s="436"/>
      <c r="M10" s="436"/>
      <c r="N10" s="138"/>
      <c r="O10" s="138"/>
    </row>
    <row r="11" spans="2:15" s="132" customFormat="1" ht="15.75" customHeight="1">
      <c r="B11" s="150" t="s">
        <v>58</v>
      </c>
      <c r="C11" s="527">
        <v>12685.576923076924</v>
      </c>
      <c r="D11" s="527">
        <v>13074</v>
      </c>
      <c r="E11" s="527">
        <v>12740</v>
      </c>
      <c r="F11" s="527">
        <v>16008</v>
      </c>
      <c r="G11" s="527"/>
      <c r="H11" s="436"/>
      <c r="I11" s="436"/>
      <c r="J11" s="436"/>
      <c r="K11" s="436"/>
      <c r="L11" s="436"/>
      <c r="M11" s="436"/>
      <c r="N11" s="138"/>
      <c r="O11" s="138"/>
    </row>
    <row r="12" spans="2:15" s="132" customFormat="1" ht="15.75" customHeight="1">
      <c r="B12" s="150" t="s">
        <v>50</v>
      </c>
      <c r="C12" s="527">
        <v>12827.173913043478</v>
      </c>
      <c r="D12" s="527">
        <v>13359.259259259257</v>
      </c>
      <c r="E12" s="527">
        <v>13095.283018867925</v>
      </c>
      <c r="F12" s="527">
        <v>15900</v>
      </c>
      <c r="G12" s="527"/>
      <c r="H12" s="436"/>
      <c r="I12" s="436"/>
      <c r="J12" s="436"/>
      <c r="K12" s="436"/>
      <c r="L12" s="436"/>
      <c r="M12" s="436"/>
      <c r="N12" s="138"/>
      <c r="O12" s="138"/>
    </row>
    <row r="13" spans="2:15" s="132" customFormat="1" ht="15.75" customHeight="1">
      <c r="B13" s="150" t="s">
        <v>51</v>
      </c>
      <c r="C13" s="527">
        <v>13130.000000000002</v>
      </c>
      <c r="D13" s="527">
        <v>13311</v>
      </c>
      <c r="E13" s="527">
        <v>14412.765957446809</v>
      </c>
      <c r="F13" s="527">
        <v>15500</v>
      </c>
      <c r="G13" s="852"/>
      <c r="H13" s="436"/>
      <c r="I13" s="436"/>
      <c r="J13" s="436"/>
      <c r="K13" s="436"/>
      <c r="L13" s="436"/>
      <c r="M13" s="436"/>
      <c r="N13" s="138"/>
      <c r="O13" s="138"/>
    </row>
    <row r="14" spans="2:15" s="132" customFormat="1" ht="15.75" customHeight="1">
      <c r="B14" s="96" t="s">
        <v>52</v>
      </c>
      <c r="C14" s="527">
        <v>13104.166666666666</v>
      </c>
      <c r="D14" s="527">
        <v>13489</v>
      </c>
      <c r="E14" s="527">
        <v>14592.307692307691</v>
      </c>
      <c r="F14" s="527">
        <v>15500</v>
      </c>
      <c r="G14" s="852"/>
      <c r="H14" s="436"/>
      <c r="I14" s="436"/>
      <c r="J14" s="436"/>
      <c r="K14" s="436"/>
      <c r="L14" s="436"/>
      <c r="M14" s="436"/>
      <c r="N14" s="138"/>
      <c r="O14" s="138"/>
    </row>
    <row r="15" spans="2:15" s="132" customFormat="1" ht="15.75" customHeight="1">
      <c r="B15" s="96" t="s">
        <v>53</v>
      </c>
      <c r="C15" s="528">
        <v>12803</v>
      </c>
      <c r="D15" s="528">
        <v>13654</v>
      </c>
      <c r="E15" s="527">
        <v>15066.666666666666</v>
      </c>
      <c r="F15" s="527">
        <v>16475</v>
      </c>
      <c r="G15" s="852"/>
      <c r="H15" s="436"/>
      <c r="I15" s="436"/>
      <c r="J15" s="436"/>
      <c r="K15" s="436"/>
      <c r="L15" s="436"/>
      <c r="M15" s="436"/>
      <c r="N15" s="138"/>
      <c r="O15" s="138"/>
    </row>
    <row r="16" spans="2:15" s="132" customFormat="1" ht="15.75" customHeight="1">
      <c r="B16" s="96" t="s">
        <v>54</v>
      </c>
      <c r="C16" s="527">
        <v>12589</v>
      </c>
      <c r="D16" s="527">
        <v>13760</v>
      </c>
      <c r="E16" s="527">
        <v>14657.142857142855</v>
      </c>
      <c r="F16" s="527">
        <v>18000</v>
      </c>
      <c r="G16" s="852"/>
      <c r="H16" s="436"/>
      <c r="I16" s="436"/>
      <c r="J16" s="436"/>
      <c r="K16" s="436"/>
      <c r="L16" s="436"/>
      <c r="M16" s="436"/>
      <c r="N16" s="138"/>
      <c r="O16" s="138"/>
    </row>
    <row r="17" spans="2:15" s="132" customFormat="1" ht="15.75" customHeight="1">
      <c r="B17" s="96" t="s">
        <v>55</v>
      </c>
      <c r="C17" s="527">
        <v>12563.265306122448</v>
      </c>
      <c r="D17" s="527">
        <v>14340</v>
      </c>
      <c r="E17" s="527">
        <v>15112.5</v>
      </c>
      <c r="F17" s="527">
        <v>19000</v>
      </c>
      <c r="G17" s="852"/>
      <c r="H17" s="436"/>
      <c r="I17" s="436"/>
      <c r="J17" s="436"/>
      <c r="K17" s="436"/>
      <c r="L17" s="436"/>
      <c r="M17" s="436"/>
      <c r="N17" s="138"/>
      <c r="O17" s="138"/>
    </row>
    <row r="18" spans="2:15" s="132" customFormat="1" ht="15.75" customHeight="1">
      <c r="B18" s="96" t="s">
        <v>56</v>
      </c>
      <c r="C18" s="527">
        <v>12536.170212765957</v>
      </c>
      <c r="D18" s="527">
        <v>15260</v>
      </c>
      <c r="E18" s="527">
        <v>15688.888888888889</v>
      </c>
      <c r="F18" s="1024"/>
      <c r="G18" s="936"/>
      <c r="H18" s="436"/>
      <c r="I18" s="436"/>
      <c r="J18" s="436"/>
      <c r="K18" s="436"/>
      <c r="L18" s="436"/>
      <c r="M18" s="436"/>
      <c r="N18" s="138"/>
      <c r="O18" s="138"/>
    </row>
    <row r="19" spans="2:15" s="132" customFormat="1" ht="66.75" customHeight="1">
      <c r="B19" s="1241" t="s">
        <v>599</v>
      </c>
      <c r="C19" s="1242"/>
      <c r="D19" s="1242"/>
      <c r="E19" s="1242"/>
      <c r="F19" s="1242"/>
      <c r="G19" s="1243"/>
      <c r="H19" s="138"/>
      <c r="I19" s="354"/>
      <c r="J19" s="138"/>
      <c r="K19" s="138"/>
      <c r="L19" s="138"/>
      <c r="M19" s="138"/>
      <c r="N19" s="138"/>
      <c r="O19" s="138"/>
    </row>
    <row r="20" spans="2:15" s="132" customFormat="1" ht="12.75">
      <c r="B20" s="355"/>
      <c r="C20" s="289"/>
      <c r="D20" s="289"/>
      <c r="E20" s="289"/>
      <c r="F20" s="289"/>
      <c r="G20" s="289"/>
      <c r="I20" s="354"/>
    </row>
    <row r="21" spans="2:15" s="132" customFormat="1" ht="12.75">
      <c r="B21" s="355"/>
      <c r="C21" s="289"/>
      <c r="D21" s="289"/>
      <c r="E21" s="289"/>
      <c r="F21" s="289"/>
      <c r="G21" s="289"/>
      <c r="I21" s="354"/>
    </row>
    <row r="22" spans="2:15" ht="12.75">
      <c r="I22" s="354"/>
      <c r="J22" s="132"/>
    </row>
    <row r="23" spans="2:15" ht="12.75">
      <c r="I23" s="354"/>
      <c r="J23" s="132"/>
    </row>
    <row r="24" spans="2:15" ht="12.75">
      <c r="I24" s="354"/>
      <c r="J24" s="132"/>
    </row>
    <row r="25" spans="2:15" ht="12" customHeight="1">
      <c r="I25" s="354"/>
      <c r="J25" s="132"/>
    </row>
    <row r="26" spans="2:15" ht="12" customHeight="1">
      <c r="I26" s="354"/>
      <c r="J26" s="132"/>
    </row>
    <row r="27" spans="2:15" ht="12" customHeight="1">
      <c r="I27" s="354"/>
      <c r="J27" s="132"/>
    </row>
    <row r="28" spans="2:15" ht="12" customHeight="1">
      <c r="I28" s="354"/>
      <c r="J28" s="132"/>
    </row>
    <row r="29" spans="2:15" ht="12" customHeight="1">
      <c r="I29" s="354"/>
      <c r="J29" s="132"/>
    </row>
    <row r="30" spans="2:15" ht="12" customHeight="1">
      <c r="I30" s="354"/>
      <c r="J30" s="132"/>
    </row>
    <row r="31" spans="2:15" ht="12" customHeight="1">
      <c r="I31" s="354"/>
      <c r="J31" s="132"/>
    </row>
    <row r="32" spans="2:15" ht="12" customHeight="1">
      <c r="I32" s="354"/>
      <c r="J32" s="132"/>
    </row>
    <row r="33" spans="2:10" ht="12" customHeight="1">
      <c r="I33" s="354"/>
      <c r="J33" s="132"/>
    </row>
    <row r="34" spans="2:10" ht="12" customHeight="1">
      <c r="I34" s="354"/>
      <c r="J34" s="132"/>
    </row>
    <row r="35" spans="2:10" ht="12" customHeight="1">
      <c r="I35" s="354"/>
      <c r="J35" s="132"/>
    </row>
    <row r="36" spans="2:10" ht="12" customHeight="1">
      <c r="I36" s="354"/>
      <c r="J36" s="132"/>
    </row>
    <row r="37" spans="2:10" ht="12" customHeight="1">
      <c r="I37" s="354"/>
      <c r="J37" s="132"/>
    </row>
    <row r="38" spans="2:10" ht="12" customHeight="1">
      <c r="I38" s="354"/>
      <c r="J38" s="132"/>
    </row>
    <row r="39" spans="2:10" ht="12" customHeight="1">
      <c r="I39" s="354"/>
      <c r="J39" s="132"/>
    </row>
    <row r="40" spans="2:10" ht="12" customHeight="1">
      <c r="I40" s="354"/>
      <c r="J40" s="132"/>
    </row>
    <row r="41" spans="2:10" ht="12" customHeight="1">
      <c r="I41" s="354"/>
      <c r="J41" s="132"/>
    </row>
    <row r="42" spans="2:10" ht="3" customHeight="1">
      <c r="I42" s="354"/>
      <c r="J42" s="132"/>
    </row>
    <row r="43" spans="2:10" ht="18.75" customHeight="1">
      <c r="B43" s="1169" t="s">
        <v>478</v>
      </c>
      <c r="C43" s="1169"/>
      <c r="D43" s="1169"/>
      <c r="E43" s="1169"/>
      <c r="F43" s="1169"/>
      <c r="G43" s="1169"/>
      <c r="I43" s="354"/>
      <c r="J43" s="132"/>
    </row>
    <row r="44" spans="2:10" ht="12" customHeight="1">
      <c r="I44" s="354"/>
      <c r="J44" s="132"/>
    </row>
    <row r="45" spans="2:10" ht="12" customHeight="1">
      <c r="I45" s="354"/>
      <c r="J45" s="132"/>
    </row>
    <row r="46" spans="2:10" ht="12" customHeight="1">
      <c r="I46" s="354"/>
      <c r="J46" s="132"/>
    </row>
    <row r="47" spans="2:10" ht="12" customHeight="1">
      <c r="I47" s="354"/>
      <c r="J47" s="132"/>
    </row>
    <row r="48" spans="2:10" ht="12" customHeight="1">
      <c r="I48" s="354"/>
      <c r="J48" s="132"/>
    </row>
    <row r="49" spans="9:10" ht="12" customHeight="1">
      <c r="I49" s="354"/>
      <c r="J49" s="132"/>
    </row>
    <row r="50" spans="9:10" ht="12" customHeight="1">
      <c r="I50" s="354"/>
      <c r="J50" s="132"/>
    </row>
    <row r="51" spans="9:10" ht="12" customHeight="1">
      <c r="I51" s="354"/>
      <c r="J51" s="132"/>
    </row>
    <row r="52" spans="9:10" ht="12" customHeight="1">
      <c r="I52" s="354"/>
      <c r="J52" s="132"/>
    </row>
    <row r="53" spans="9:10" ht="12" customHeight="1">
      <c r="I53" s="354"/>
      <c r="J53" s="132"/>
    </row>
    <row r="54" spans="9:10" ht="12" customHeight="1">
      <c r="I54" s="354"/>
      <c r="J54" s="132"/>
    </row>
    <row r="55" spans="9:10" ht="12" customHeight="1">
      <c r="I55" s="354"/>
      <c r="J55" s="132"/>
    </row>
    <row r="56" spans="9:10" ht="12" customHeight="1">
      <c r="I56" s="354"/>
      <c r="J56" s="132"/>
    </row>
    <row r="57" spans="9:10" ht="12" customHeight="1">
      <c r="I57" s="354"/>
      <c r="J57" s="132"/>
    </row>
    <row r="58" spans="9:10" ht="12" customHeight="1">
      <c r="I58" s="354"/>
      <c r="J58" s="132"/>
    </row>
    <row r="59" spans="9:10" ht="12" customHeight="1">
      <c r="I59" s="354"/>
      <c r="J59" s="132"/>
    </row>
    <row r="60" spans="9:10" ht="12" customHeight="1">
      <c r="I60" s="354"/>
      <c r="J60" s="132"/>
    </row>
    <row r="61" spans="9:10" ht="12" customHeight="1">
      <c r="I61" s="354"/>
      <c r="J61" s="132"/>
    </row>
    <row r="62" spans="9:10" ht="12" customHeight="1">
      <c r="I62" s="354"/>
      <c r="J62" s="132"/>
    </row>
    <row r="63" spans="9:10" ht="12" customHeight="1">
      <c r="I63" s="354"/>
      <c r="J63" s="132"/>
    </row>
    <row r="64" spans="9:10" ht="12" customHeight="1">
      <c r="I64" s="356"/>
      <c r="J64" s="132"/>
    </row>
    <row r="65" spans="9:10" ht="12" customHeight="1">
      <c r="I65" s="356"/>
      <c r="J65" s="132"/>
    </row>
    <row r="66" spans="9:10" ht="12" customHeight="1">
      <c r="I66" s="356"/>
      <c r="J66" s="132"/>
    </row>
    <row r="67" spans="9:10" ht="12" customHeight="1">
      <c r="I67" s="356"/>
      <c r="J67" s="132"/>
    </row>
    <row r="68" spans="9:10" ht="12" customHeight="1">
      <c r="I68" s="356"/>
      <c r="J68" s="132"/>
    </row>
    <row r="69" spans="9:10" ht="12" customHeight="1">
      <c r="I69" s="356"/>
      <c r="J69" s="132"/>
    </row>
    <row r="70" spans="9:10" ht="12" customHeight="1">
      <c r="I70" s="356"/>
      <c r="J70" s="132"/>
    </row>
    <row r="71" spans="9:10" ht="12" customHeight="1">
      <c r="I71" s="356"/>
      <c r="J71" s="132"/>
    </row>
    <row r="72" spans="9:10" ht="12" customHeight="1">
      <c r="I72" s="356"/>
      <c r="J72" s="132"/>
    </row>
    <row r="73" spans="9:10" ht="12" customHeight="1">
      <c r="I73" s="356"/>
      <c r="J73" s="132"/>
    </row>
    <row r="74" spans="9:10" ht="12" customHeight="1">
      <c r="I74" s="356"/>
      <c r="J74" s="132"/>
    </row>
    <row r="75" spans="9:10" ht="12" customHeight="1">
      <c r="I75" s="356"/>
      <c r="J75" s="132"/>
    </row>
    <row r="76" spans="9:10" ht="12" customHeight="1">
      <c r="I76" s="356"/>
      <c r="J76" s="132"/>
    </row>
    <row r="77" spans="9:10" ht="12" customHeight="1">
      <c r="I77" s="356"/>
      <c r="J77" s="132"/>
    </row>
    <row r="78" spans="9:10" ht="12" customHeight="1">
      <c r="I78" s="356"/>
      <c r="J78" s="132"/>
    </row>
    <row r="79" spans="9:10" ht="12" customHeight="1">
      <c r="I79" s="356"/>
      <c r="J79" s="132"/>
    </row>
    <row r="80" spans="9:10" ht="12" customHeight="1">
      <c r="I80" s="356"/>
      <c r="J80" s="132"/>
    </row>
    <row r="81" spans="9:9" ht="12" customHeight="1">
      <c r="I81" s="344"/>
    </row>
    <row r="82" spans="9:9" ht="12" customHeight="1">
      <c r="I82" s="344"/>
    </row>
    <row r="83" spans="9:9" ht="12" customHeight="1">
      <c r="I83" s="344"/>
    </row>
    <row r="84" spans="9:9" ht="12" customHeight="1">
      <c r="I84" s="344"/>
    </row>
    <row r="85" spans="9:9" ht="12" customHeight="1">
      <c r="I85" s="344"/>
    </row>
    <row r="86" spans="9:9" ht="12" customHeight="1">
      <c r="I86" s="344"/>
    </row>
    <row r="87" spans="9:9" ht="12" customHeight="1">
      <c r="I87" s="344"/>
    </row>
    <row r="88" spans="9:9" ht="12" customHeight="1">
      <c r="I88" s="344"/>
    </row>
    <row r="89" spans="9:9" ht="12" customHeight="1">
      <c r="I89" s="344"/>
    </row>
    <row r="90" spans="9:9" ht="12" customHeight="1">
      <c r="I90" s="344"/>
    </row>
    <row r="91" spans="9:9" ht="12" customHeight="1">
      <c r="I91" s="344"/>
    </row>
    <row r="92" spans="9:9" ht="12" customHeight="1">
      <c r="I92" s="344"/>
    </row>
    <row r="93" spans="9:9" ht="12" customHeight="1">
      <c r="I93" s="344"/>
    </row>
    <row r="94" spans="9:9" ht="12" customHeight="1">
      <c r="I94" s="344"/>
    </row>
    <row r="95" spans="9:9" ht="12" customHeight="1">
      <c r="I95" s="344"/>
    </row>
    <row r="96" spans="9:9" ht="12" customHeight="1">
      <c r="I96" s="344"/>
    </row>
    <row r="97" spans="9:9" ht="12" customHeight="1">
      <c r="I97" s="344"/>
    </row>
    <row r="98" spans="9:9" ht="12" customHeight="1">
      <c r="I98" s="344"/>
    </row>
    <row r="99" spans="9:9" ht="12" customHeight="1">
      <c r="I99" s="344"/>
    </row>
    <row r="100" spans="9:9" ht="12" customHeight="1">
      <c r="I100" s="344"/>
    </row>
    <row r="101" spans="9:9" ht="12" customHeight="1">
      <c r="I101" s="344"/>
    </row>
    <row r="102" spans="9:9" ht="12" customHeight="1">
      <c r="I102" s="344"/>
    </row>
    <row r="103" spans="9:9" ht="12" customHeight="1">
      <c r="I103" s="344"/>
    </row>
    <row r="104" spans="9:9" ht="12" customHeight="1">
      <c r="I104" s="344"/>
    </row>
    <row r="105" spans="9:9" ht="12" customHeight="1">
      <c r="I105" s="344"/>
    </row>
    <row r="106" spans="9:9" ht="12" customHeight="1">
      <c r="I106" s="344"/>
    </row>
    <row r="107" spans="9:9" ht="12" customHeight="1">
      <c r="I107" s="344"/>
    </row>
    <row r="108" spans="9:9" ht="12" customHeight="1">
      <c r="I108" s="344"/>
    </row>
    <row r="109" spans="9:9" ht="12" customHeight="1">
      <c r="I109" s="344"/>
    </row>
    <row r="110" spans="9:9" ht="12" customHeight="1">
      <c r="I110" s="344"/>
    </row>
    <row r="111" spans="9:9" ht="12" customHeight="1">
      <c r="I111" s="344"/>
    </row>
    <row r="112" spans="9:9" ht="12" customHeight="1">
      <c r="I112" s="344"/>
    </row>
    <row r="113" spans="9:9" ht="12" customHeight="1">
      <c r="I113" s="344"/>
    </row>
    <row r="114" spans="9:9" ht="12" customHeight="1">
      <c r="I114" s="344"/>
    </row>
    <row r="115" spans="9:9" ht="12" customHeight="1">
      <c r="I115" s="344"/>
    </row>
    <row r="116" spans="9:9" ht="12" customHeight="1">
      <c r="I116" s="344"/>
    </row>
    <row r="117" spans="9:9" ht="12" customHeight="1">
      <c r="I117" s="344"/>
    </row>
    <row r="118" spans="9:9" ht="12" customHeight="1">
      <c r="I118" s="344"/>
    </row>
    <row r="119" spans="9:9" ht="12" customHeight="1">
      <c r="I119" s="344"/>
    </row>
    <row r="120" spans="9:9" ht="12" customHeight="1">
      <c r="I120" s="344"/>
    </row>
    <row r="121" spans="9:9" ht="12" customHeight="1">
      <c r="I121" s="344"/>
    </row>
    <row r="122" spans="9:9" ht="12" customHeight="1">
      <c r="I122" s="344"/>
    </row>
    <row r="123" spans="9:9" ht="12" customHeight="1">
      <c r="I123" s="344"/>
    </row>
    <row r="124" spans="9:9" ht="12" customHeight="1">
      <c r="I124" s="344"/>
    </row>
    <row r="125" spans="9:9" ht="12" customHeight="1">
      <c r="I125" s="344"/>
    </row>
    <row r="126" spans="9:9" ht="12" customHeight="1">
      <c r="I126" s="344"/>
    </row>
    <row r="127" spans="9:9" ht="12" customHeight="1">
      <c r="I127" s="344"/>
    </row>
    <row r="128" spans="9:9" ht="12" customHeight="1">
      <c r="I128" s="344"/>
    </row>
    <row r="129" spans="9:9" ht="12" customHeight="1">
      <c r="I129" s="344"/>
    </row>
    <row r="130" spans="9:9" ht="12" customHeight="1">
      <c r="I130" s="344"/>
    </row>
    <row r="131" spans="9:9" ht="12" customHeight="1">
      <c r="I131" s="344"/>
    </row>
    <row r="132" spans="9:9" ht="12" customHeight="1">
      <c r="I132" s="344"/>
    </row>
    <row r="133" spans="9:9" ht="12" customHeight="1">
      <c r="I133" s="344"/>
    </row>
    <row r="134" spans="9:9" ht="12" customHeight="1">
      <c r="I134" s="344"/>
    </row>
    <row r="135" spans="9:9" ht="12" customHeight="1">
      <c r="I135" s="344"/>
    </row>
    <row r="136" spans="9:9" ht="12" customHeight="1">
      <c r="I136" s="344"/>
    </row>
    <row r="137" spans="9:9" ht="12" customHeight="1">
      <c r="I137" s="344"/>
    </row>
    <row r="138" spans="9:9" ht="12" customHeight="1">
      <c r="I138" s="344"/>
    </row>
    <row r="139" spans="9:9" ht="12" customHeight="1">
      <c r="I139" s="344"/>
    </row>
    <row r="140" spans="9:9" ht="12" customHeight="1">
      <c r="I140" s="344"/>
    </row>
    <row r="141" spans="9:9" ht="12" customHeight="1">
      <c r="I141" s="344"/>
    </row>
    <row r="142" spans="9:9" ht="12" customHeight="1">
      <c r="I142" s="344"/>
    </row>
    <row r="143" spans="9:9" ht="12" customHeight="1">
      <c r="I143" s="344"/>
    </row>
    <row r="144" spans="9:9" ht="12" customHeight="1">
      <c r="I144" s="344"/>
    </row>
    <row r="145" spans="9:9" ht="12" customHeight="1">
      <c r="I145" s="344"/>
    </row>
    <row r="146" spans="9:9" ht="12" customHeight="1">
      <c r="I146" s="344"/>
    </row>
    <row r="147" spans="9:9" ht="12" customHeight="1">
      <c r="I147" s="344"/>
    </row>
    <row r="148" spans="9:9" ht="12" customHeight="1">
      <c r="I148" s="344"/>
    </row>
    <row r="149" spans="9:9" ht="12" customHeight="1">
      <c r="I149" s="344"/>
    </row>
    <row r="150" spans="9:9" ht="12" customHeight="1">
      <c r="I150" s="344"/>
    </row>
    <row r="151" spans="9:9" ht="12" customHeight="1">
      <c r="I151" s="344"/>
    </row>
    <row r="152" spans="9:9" ht="12" customHeight="1">
      <c r="I152" s="344"/>
    </row>
    <row r="153" spans="9:9" ht="12" customHeight="1">
      <c r="I153" s="344"/>
    </row>
    <row r="154" spans="9:9" ht="12" customHeight="1">
      <c r="I154" s="344"/>
    </row>
    <row r="155" spans="9:9" ht="12" customHeight="1">
      <c r="I155" s="344"/>
    </row>
    <row r="156" spans="9:9" ht="12" customHeight="1">
      <c r="I156" s="344"/>
    </row>
    <row r="157" spans="9:9" ht="12" customHeight="1">
      <c r="I157" s="344"/>
    </row>
    <row r="158" spans="9:9" ht="12" customHeight="1">
      <c r="I158" s="344"/>
    </row>
    <row r="159" spans="9:9" ht="12" customHeight="1">
      <c r="I159" s="344"/>
    </row>
    <row r="160" spans="9:9" ht="12" customHeight="1">
      <c r="I160" s="344"/>
    </row>
    <row r="161" spans="9:9" ht="12" customHeight="1">
      <c r="I161" s="344"/>
    </row>
    <row r="162" spans="9:9" ht="12" customHeight="1">
      <c r="I162" s="344"/>
    </row>
    <row r="163" spans="9:9" ht="12" customHeight="1">
      <c r="I163" s="344"/>
    </row>
    <row r="164" spans="9:9" ht="12" customHeight="1">
      <c r="I164" s="344"/>
    </row>
    <row r="165" spans="9:9" ht="12" customHeight="1">
      <c r="I165" s="344"/>
    </row>
    <row r="166" spans="9:9" ht="12" customHeight="1">
      <c r="I166" s="344"/>
    </row>
    <row r="167" spans="9:9" ht="12" customHeight="1">
      <c r="I167" s="344"/>
    </row>
    <row r="168" spans="9:9" ht="12" customHeight="1">
      <c r="I168" s="344"/>
    </row>
    <row r="169" spans="9:9" ht="12" customHeight="1">
      <c r="I169" s="344"/>
    </row>
    <row r="170" spans="9:9" ht="12" customHeight="1">
      <c r="I170" s="344"/>
    </row>
    <row r="171" spans="9:9" ht="12" customHeight="1">
      <c r="I171" s="344"/>
    </row>
    <row r="172" spans="9:9" ht="12" customHeight="1">
      <c r="I172" s="344"/>
    </row>
    <row r="173" spans="9:9" ht="12" customHeight="1">
      <c r="I173" s="344"/>
    </row>
    <row r="174" spans="9:9" ht="12" customHeight="1">
      <c r="I174" s="344"/>
    </row>
    <row r="175" spans="9:9" ht="12" customHeight="1">
      <c r="I175" s="344"/>
    </row>
    <row r="176" spans="9:9" ht="12" customHeight="1">
      <c r="I176" s="344"/>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1"/>
  <sheetViews>
    <sheetView zoomScaleNormal="100" workbookViewId="0">
      <selection activeCell="J27" sqref="J27"/>
    </sheetView>
  </sheetViews>
  <sheetFormatPr baseColWidth="10" defaultRowHeight="18"/>
  <cols>
    <col min="1" max="1" width="1.7265625" customWidth="1"/>
    <col min="2" max="2" width="7" customWidth="1"/>
    <col min="3" max="14" width="4.6328125" customWidth="1"/>
    <col min="15" max="15" width="0.90625" customWidth="1"/>
  </cols>
  <sheetData>
    <row r="1" spans="2:15">
      <c r="B1" s="1104" t="s">
        <v>79</v>
      </c>
      <c r="C1" s="1104"/>
      <c r="D1" s="1104"/>
      <c r="E1" s="1104"/>
      <c r="F1" s="1104"/>
      <c r="G1" s="1104"/>
      <c r="H1" s="1104"/>
      <c r="I1" s="1104"/>
      <c r="J1" s="1104"/>
      <c r="K1" s="1104"/>
      <c r="L1" s="1104"/>
      <c r="M1" s="1104"/>
      <c r="N1" s="1104"/>
    </row>
    <row r="2" spans="2:15">
      <c r="B2" s="25"/>
      <c r="C2" s="25"/>
      <c r="D2" s="25"/>
      <c r="E2" s="25"/>
      <c r="F2" s="25"/>
      <c r="G2" s="25"/>
      <c r="H2" s="25"/>
      <c r="I2" s="25"/>
      <c r="J2" s="25"/>
      <c r="K2" s="25"/>
      <c r="L2" s="25"/>
      <c r="M2" s="25"/>
      <c r="N2" s="25"/>
    </row>
    <row r="3" spans="2:15">
      <c r="B3" s="1104" t="s">
        <v>601</v>
      </c>
      <c r="C3" s="1104"/>
      <c r="D3" s="1104"/>
      <c r="E3" s="1104"/>
      <c r="F3" s="1104"/>
      <c r="G3" s="1104"/>
      <c r="H3" s="1104"/>
      <c r="I3" s="1104"/>
      <c r="J3" s="1104"/>
      <c r="K3" s="1104"/>
      <c r="L3" s="1104"/>
      <c r="M3" s="1104"/>
      <c r="N3" s="1104"/>
    </row>
    <row r="4" spans="2:15">
      <c r="B4" s="1104" t="s">
        <v>240</v>
      </c>
      <c r="C4" s="1104"/>
      <c r="D4" s="1104"/>
      <c r="E4" s="1104"/>
      <c r="F4" s="1104"/>
      <c r="G4" s="1104"/>
      <c r="H4" s="1104"/>
      <c r="I4" s="1104"/>
      <c r="J4" s="1104"/>
      <c r="K4" s="1104"/>
      <c r="L4" s="1104"/>
      <c r="M4" s="1104"/>
      <c r="N4" s="1104"/>
    </row>
    <row r="5" spans="2:15" ht="41.25" customHeight="1">
      <c r="B5" s="1301" t="s">
        <v>225</v>
      </c>
      <c r="C5" s="1194" t="s">
        <v>391</v>
      </c>
      <c r="D5" s="1194"/>
      <c r="E5" s="1194" t="s">
        <v>452</v>
      </c>
      <c r="F5" s="1194"/>
      <c r="G5" s="1194" t="s">
        <v>141</v>
      </c>
      <c r="H5" s="1194"/>
      <c r="I5" s="1194" t="s">
        <v>519</v>
      </c>
      <c r="J5" s="1194"/>
      <c r="K5" s="1194" t="s">
        <v>142</v>
      </c>
      <c r="L5" s="1194"/>
      <c r="M5" s="1302" t="s">
        <v>7</v>
      </c>
      <c r="N5" s="1302"/>
    </row>
    <row r="6" spans="2:15" ht="15.75" customHeight="1">
      <c r="B6" s="1301"/>
      <c r="C6" s="771">
        <v>2020</v>
      </c>
      <c r="D6" s="615">
        <v>2021</v>
      </c>
      <c r="E6" s="771">
        <v>2020</v>
      </c>
      <c r="F6" s="615">
        <v>2021</v>
      </c>
      <c r="G6" s="771">
        <v>2020</v>
      </c>
      <c r="H6" s="615">
        <v>2021</v>
      </c>
      <c r="I6" s="771">
        <v>2020</v>
      </c>
      <c r="J6" s="615">
        <v>2021</v>
      </c>
      <c r="K6" s="771">
        <v>2020</v>
      </c>
      <c r="L6" s="615">
        <v>2021</v>
      </c>
      <c r="M6" s="771">
        <v>2020</v>
      </c>
      <c r="N6" s="615">
        <v>2021</v>
      </c>
    </row>
    <row r="7" spans="2:15" ht="15.75" customHeight="1">
      <c r="B7" s="96" t="s">
        <v>47</v>
      </c>
      <c r="C7" s="612">
        <v>140</v>
      </c>
      <c r="D7" s="612" t="s">
        <v>687</v>
      </c>
      <c r="E7" s="612">
        <v>150</v>
      </c>
      <c r="F7" s="612" t="s">
        <v>687</v>
      </c>
      <c r="G7" s="612">
        <v>150</v>
      </c>
      <c r="H7" s="612" t="s">
        <v>687</v>
      </c>
      <c r="I7" s="612" t="s">
        <v>687</v>
      </c>
      <c r="J7" s="612" t="s">
        <v>687</v>
      </c>
      <c r="K7" s="612">
        <v>150</v>
      </c>
      <c r="L7" s="612" t="s">
        <v>687</v>
      </c>
      <c r="M7" s="612">
        <v>146.66666666666666</v>
      </c>
      <c r="N7" s="612"/>
    </row>
    <row r="8" spans="2:15" ht="15.75" customHeight="1">
      <c r="B8" s="96" t="s">
        <v>48</v>
      </c>
      <c r="C8" s="612">
        <v>140</v>
      </c>
      <c r="D8" s="612"/>
      <c r="E8" s="612">
        <v>150</v>
      </c>
      <c r="F8" s="612"/>
      <c r="G8" s="612">
        <v>150</v>
      </c>
      <c r="H8" s="612"/>
      <c r="I8" s="612" t="s">
        <v>687</v>
      </c>
      <c r="J8" s="612"/>
      <c r="K8" s="612">
        <v>150</v>
      </c>
      <c r="L8" s="612"/>
      <c r="M8" s="612">
        <v>146.66666666666666</v>
      </c>
      <c r="N8" s="612"/>
    </row>
    <row r="9" spans="2:15" ht="15.75" customHeight="1">
      <c r="B9" s="96" t="s">
        <v>49</v>
      </c>
      <c r="C9" s="612">
        <v>158.75</v>
      </c>
      <c r="D9" s="612"/>
      <c r="E9" s="612">
        <v>154.75</v>
      </c>
      <c r="F9" s="612"/>
      <c r="G9" s="612">
        <v>166.75</v>
      </c>
      <c r="H9" s="612"/>
      <c r="I9" s="612">
        <v>162.5</v>
      </c>
      <c r="J9" s="612"/>
      <c r="K9" s="612">
        <v>153.42857142857144</v>
      </c>
      <c r="L9" s="612"/>
      <c r="M9" s="612">
        <v>156.58064516129033</v>
      </c>
      <c r="N9" s="612"/>
      <c r="O9" s="473"/>
    </row>
    <row r="10" spans="2:15" ht="15.75" customHeight="1">
      <c r="B10" s="150" t="s">
        <v>57</v>
      </c>
      <c r="C10" s="612">
        <v>170</v>
      </c>
      <c r="D10" s="612"/>
      <c r="E10" s="612">
        <v>171.65384615384616</v>
      </c>
      <c r="F10" s="612"/>
      <c r="G10" s="612">
        <v>168.625</v>
      </c>
      <c r="H10" s="612"/>
      <c r="I10" s="612">
        <v>166.46153846153848</v>
      </c>
      <c r="J10" s="612"/>
      <c r="K10" s="612">
        <v>158.8125</v>
      </c>
      <c r="L10" s="612"/>
      <c r="M10" s="612">
        <v>166.30327868852459</v>
      </c>
      <c r="N10" s="612"/>
    </row>
    <row r="11" spans="2:15" ht="15.75" customHeight="1">
      <c r="B11" s="150" t="s">
        <v>58</v>
      </c>
      <c r="C11" s="612" t="s">
        <v>687</v>
      </c>
      <c r="D11" s="612"/>
      <c r="E11" s="612">
        <v>152.5</v>
      </c>
      <c r="F11" s="612"/>
      <c r="G11" s="612">
        <v>159.44444444444446</v>
      </c>
      <c r="H11" s="612"/>
      <c r="I11" s="612">
        <v>161.94117647058823</v>
      </c>
      <c r="J11" s="612"/>
      <c r="K11" s="612">
        <v>161.32142857142856</v>
      </c>
      <c r="L11" s="612"/>
      <c r="M11" s="612">
        <v>160.08064516129033</v>
      </c>
      <c r="N11" s="612"/>
    </row>
    <row r="12" spans="2:15" ht="15.75" customHeight="1">
      <c r="B12" s="150" t="s">
        <v>50</v>
      </c>
      <c r="C12" s="612" t="s">
        <v>687</v>
      </c>
      <c r="D12" s="612"/>
      <c r="E12" s="612" t="s">
        <v>687</v>
      </c>
      <c r="F12" s="612"/>
      <c r="G12" s="612">
        <v>160</v>
      </c>
      <c r="H12" s="612"/>
      <c r="I12" s="612">
        <v>162</v>
      </c>
      <c r="J12" s="612"/>
      <c r="K12" s="612">
        <v>157.83333333333334</v>
      </c>
      <c r="L12" s="612"/>
      <c r="M12" s="612">
        <v>159</v>
      </c>
      <c r="N12" s="612"/>
    </row>
    <row r="13" spans="2:15" ht="15.75" customHeight="1">
      <c r="B13" s="96" t="s">
        <v>51</v>
      </c>
      <c r="C13" s="612" t="s">
        <v>687</v>
      </c>
      <c r="D13" s="612"/>
      <c r="E13" s="612" t="s">
        <v>687</v>
      </c>
      <c r="F13" s="612"/>
      <c r="G13" s="612" t="s">
        <v>687</v>
      </c>
      <c r="H13" s="612"/>
      <c r="I13" s="612" t="s">
        <v>687</v>
      </c>
      <c r="J13" s="612"/>
      <c r="K13" s="612">
        <v>155</v>
      </c>
      <c r="L13" s="612"/>
      <c r="M13" s="612">
        <v>155</v>
      </c>
      <c r="N13" s="612"/>
    </row>
    <row r="14" spans="2:15" ht="15.75" customHeight="1">
      <c r="B14" s="150" t="s">
        <v>52</v>
      </c>
      <c r="C14" s="612" t="s">
        <v>687</v>
      </c>
      <c r="D14" s="612"/>
      <c r="E14" s="612" t="s">
        <v>687</v>
      </c>
      <c r="F14" s="612"/>
      <c r="G14" s="612" t="s">
        <v>687</v>
      </c>
      <c r="H14" s="612"/>
      <c r="I14" s="612" t="s">
        <v>687</v>
      </c>
      <c r="J14" s="612"/>
      <c r="K14" s="612">
        <v>155</v>
      </c>
      <c r="L14" s="612"/>
      <c r="M14" s="612">
        <v>155</v>
      </c>
      <c r="N14" s="612"/>
    </row>
    <row r="15" spans="2:15" ht="15.75" customHeight="1">
      <c r="B15" s="150" t="s">
        <v>53</v>
      </c>
      <c r="C15" s="612" t="s">
        <v>687</v>
      </c>
      <c r="D15" s="612"/>
      <c r="E15" s="612" t="s">
        <v>687</v>
      </c>
      <c r="F15" s="612"/>
      <c r="G15" s="612" t="s">
        <v>687</v>
      </c>
      <c r="H15" s="612"/>
      <c r="I15" s="612" t="s">
        <v>687</v>
      </c>
      <c r="J15" s="612"/>
      <c r="K15" s="612">
        <v>164.75</v>
      </c>
      <c r="L15" s="612"/>
      <c r="M15" s="612">
        <v>164.75</v>
      </c>
      <c r="N15" s="612"/>
    </row>
    <row r="16" spans="2:15" ht="15.75" customHeight="1">
      <c r="B16" s="96" t="s">
        <v>54</v>
      </c>
      <c r="C16" s="612" t="s">
        <v>687</v>
      </c>
      <c r="D16" s="612"/>
      <c r="E16" s="612" t="s">
        <v>687</v>
      </c>
      <c r="F16" s="612"/>
      <c r="G16" s="612" t="s">
        <v>687</v>
      </c>
      <c r="H16" s="612"/>
      <c r="I16" s="612" t="s">
        <v>687</v>
      </c>
      <c r="J16" s="612"/>
      <c r="K16" s="612">
        <v>180</v>
      </c>
      <c r="L16" s="612"/>
      <c r="M16" s="612">
        <v>180</v>
      </c>
      <c r="N16" s="612"/>
    </row>
    <row r="17" spans="2:14" ht="15.75" customHeight="1">
      <c r="B17" s="96" t="s">
        <v>55</v>
      </c>
      <c r="C17" s="612" t="s">
        <v>687</v>
      </c>
      <c r="D17" s="612"/>
      <c r="E17" s="612" t="s">
        <v>687</v>
      </c>
      <c r="F17" s="612"/>
      <c r="G17" s="612" t="s">
        <v>687</v>
      </c>
      <c r="H17" s="612"/>
      <c r="I17" s="612" t="s">
        <v>687</v>
      </c>
      <c r="J17" s="612"/>
      <c r="K17" s="612">
        <v>190</v>
      </c>
      <c r="L17" s="612"/>
      <c r="M17" s="612">
        <v>190</v>
      </c>
      <c r="N17" s="612"/>
    </row>
    <row r="18" spans="2:14" ht="15.75" customHeight="1">
      <c r="B18" s="96" t="s">
        <v>56</v>
      </c>
      <c r="C18" s="612" t="s">
        <v>687</v>
      </c>
      <c r="D18" s="612"/>
      <c r="E18" s="612" t="s">
        <v>687</v>
      </c>
      <c r="F18" s="612"/>
      <c r="G18" s="612" t="s">
        <v>687</v>
      </c>
      <c r="H18" s="612"/>
      <c r="I18" s="612" t="s">
        <v>687</v>
      </c>
      <c r="J18" s="612"/>
      <c r="K18" s="612" t="s">
        <v>687</v>
      </c>
      <c r="L18" s="612"/>
      <c r="M18" s="612" t="s">
        <v>687</v>
      </c>
      <c r="N18" s="612"/>
    </row>
    <row r="19" spans="2:14" ht="51.6" customHeight="1">
      <c r="B19" s="1179" t="s">
        <v>600</v>
      </c>
      <c r="C19" s="1179"/>
      <c r="D19" s="1179"/>
      <c r="E19" s="1179"/>
      <c r="F19" s="1179"/>
      <c r="G19" s="1179"/>
      <c r="H19" s="1179"/>
      <c r="I19" s="1179"/>
      <c r="J19" s="1179"/>
      <c r="K19" s="1179"/>
      <c r="L19" s="1179"/>
      <c r="M19" s="1179"/>
      <c r="N19" s="1179"/>
    </row>
    <row r="20" spans="2:14">
      <c r="B20" s="2"/>
      <c r="C20" s="357"/>
      <c r="D20" s="357"/>
      <c r="E20" s="357"/>
      <c r="F20" s="357"/>
      <c r="G20" s="357"/>
      <c r="H20" s="357"/>
      <c r="I20" s="357"/>
      <c r="J20" s="357"/>
      <c r="K20" s="357"/>
      <c r="L20" s="357"/>
      <c r="M20" s="357"/>
      <c r="N20" s="357"/>
    </row>
    <row r="21" spans="2:14">
      <c r="C21" s="334"/>
      <c r="D21" s="358"/>
      <c r="E21" s="334"/>
      <c r="F21" s="358"/>
      <c r="G21" s="334"/>
      <c r="H21" s="358"/>
      <c r="I21" s="358"/>
      <c r="J21" s="358"/>
      <c r="K21" s="334"/>
      <c r="L21" s="358"/>
      <c r="M21" s="334"/>
      <c r="N21" s="358"/>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33"/>
  <sheetViews>
    <sheetView topLeftCell="A13" zoomScaleNormal="100" zoomScaleSheetLayoutView="75" workbookViewId="0">
      <selection activeCell="I26" sqref="I26"/>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7" customFormat="1" ht="12.75">
      <c r="B1" s="1104" t="s">
        <v>80</v>
      </c>
      <c r="C1" s="1104"/>
      <c r="D1" s="1104"/>
      <c r="E1" s="1104"/>
      <c r="F1" s="1104"/>
      <c r="G1" s="1104"/>
    </row>
    <row r="2" spans="2:12" s="27" customFormat="1" ht="12.75">
      <c r="B2" s="25"/>
      <c r="C2" s="32"/>
      <c r="D2" s="23"/>
      <c r="E2" s="23"/>
      <c r="F2" s="23"/>
      <c r="G2" s="23"/>
    </row>
    <row r="3" spans="2:12" s="27" customFormat="1" ht="12.75">
      <c r="B3" s="1104" t="s">
        <v>15</v>
      </c>
      <c r="C3" s="1104"/>
      <c r="D3" s="1104"/>
      <c r="E3" s="1104"/>
      <c r="F3" s="1104"/>
      <c r="G3" s="1104"/>
    </row>
    <row r="4" spans="2:12" s="27" customFormat="1" ht="12.75">
      <c r="B4" s="1104" t="s">
        <v>242</v>
      </c>
      <c r="C4" s="1104"/>
      <c r="D4" s="1104"/>
      <c r="E4" s="1104"/>
      <c r="F4" s="1104"/>
      <c r="G4" s="1104"/>
    </row>
    <row r="5" spans="2:12" s="27" customFormat="1" ht="51">
      <c r="B5" s="359" t="s">
        <v>96</v>
      </c>
      <c r="C5" s="360" t="s">
        <v>243</v>
      </c>
      <c r="D5" s="360" t="s">
        <v>244</v>
      </c>
      <c r="E5" s="360" t="s">
        <v>245</v>
      </c>
      <c r="F5" s="360" t="s">
        <v>246</v>
      </c>
      <c r="G5" s="360" t="s">
        <v>247</v>
      </c>
    </row>
    <row r="6" spans="2:12" s="142" customFormat="1" ht="15.75" customHeight="1">
      <c r="B6" s="534">
        <v>43831</v>
      </c>
      <c r="C6" s="937">
        <v>142484.38649999999</v>
      </c>
      <c r="D6" s="937">
        <v>137493.06749999998</v>
      </c>
      <c r="E6" s="937">
        <v>146666.66666666666</v>
      </c>
      <c r="F6" s="937">
        <v>174650.74169032258</v>
      </c>
      <c r="G6" s="937">
        <v>173514.60470967743</v>
      </c>
      <c r="H6" s="437"/>
      <c r="I6" s="437"/>
      <c r="J6" s="437"/>
      <c r="K6" s="437"/>
      <c r="L6" s="437"/>
    </row>
    <row r="7" spans="2:12" s="142" customFormat="1" ht="15.75" customHeight="1">
      <c r="B7" s="534">
        <v>43862</v>
      </c>
      <c r="C7" s="937">
        <v>142241.43180000002</v>
      </c>
      <c r="D7" s="937">
        <v>141293.7396</v>
      </c>
      <c r="E7" s="937">
        <v>146666.66666666666</v>
      </c>
      <c r="F7" s="937">
        <v>187455.25216551725</v>
      </c>
      <c r="G7" s="937">
        <v>188880.85677931036</v>
      </c>
      <c r="H7" s="437"/>
      <c r="I7" s="437"/>
      <c r="J7" s="437"/>
      <c r="K7" s="437"/>
      <c r="L7" s="437"/>
    </row>
    <row r="8" spans="2:12" s="142" customFormat="1" ht="15.75" customHeight="1">
      <c r="B8" s="534">
        <v>43891</v>
      </c>
      <c r="C8" s="937">
        <v>142089.32519999999</v>
      </c>
      <c r="D8" s="937">
        <v>143433.27720000001</v>
      </c>
      <c r="E8" s="937">
        <v>156580.64516129033</v>
      </c>
      <c r="F8" s="937">
        <v>175895.40927741936</v>
      </c>
      <c r="G8" s="937">
        <v>180682.82270967742</v>
      </c>
      <c r="H8" s="437"/>
      <c r="I8" s="437"/>
      <c r="J8" s="437"/>
      <c r="K8" s="437"/>
      <c r="L8" s="437"/>
    </row>
    <row r="9" spans="2:12" s="142" customFormat="1" ht="15.75" customHeight="1">
      <c r="B9" s="534">
        <v>43922</v>
      </c>
      <c r="C9" s="937">
        <v>134322.01200000002</v>
      </c>
      <c r="D9" s="937">
        <v>132828.59700000001</v>
      </c>
      <c r="E9" s="937">
        <v>166303.27868852459</v>
      </c>
      <c r="F9" s="937">
        <v>172363.76914687501</v>
      </c>
      <c r="G9" s="937">
        <v>175581.44557500002</v>
      </c>
      <c r="H9" s="437"/>
      <c r="I9" s="437"/>
      <c r="J9" s="437"/>
      <c r="K9" s="437"/>
      <c r="L9" s="437"/>
    </row>
    <row r="10" spans="2:12" s="142" customFormat="1" ht="15.75" customHeight="1">
      <c r="B10" s="534">
        <v>43952</v>
      </c>
      <c r="C10" s="937">
        <v>119721.28079999999</v>
      </c>
      <c r="D10" s="937">
        <v>124676.7951</v>
      </c>
      <c r="E10" s="937">
        <v>160080.64516129033</v>
      </c>
      <c r="F10" s="937">
        <v>153510.18252903226</v>
      </c>
      <c r="G10" s="937">
        <v>160587.52860645161</v>
      </c>
      <c r="H10" s="437"/>
      <c r="I10" s="437"/>
      <c r="J10" s="437"/>
      <c r="K10" s="437"/>
      <c r="L10" s="437"/>
    </row>
    <row r="11" spans="2:12" s="142" customFormat="1" ht="15.75" customHeight="1">
      <c r="B11" s="534">
        <v>43983</v>
      </c>
      <c r="C11" s="937">
        <v>117700.73879999999</v>
      </c>
      <c r="D11" s="937">
        <v>128741.38399999998</v>
      </c>
      <c r="E11" s="937">
        <v>159000</v>
      </c>
      <c r="F11" s="937">
        <v>152317.14478333329</v>
      </c>
      <c r="G11" s="937">
        <v>163270.25143</v>
      </c>
      <c r="H11" s="437"/>
      <c r="I11" s="437"/>
      <c r="J11" s="437"/>
      <c r="K11" s="437"/>
      <c r="L11" s="437"/>
    </row>
    <row r="12" spans="2:12" s="142" customFormat="1" ht="15.75" customHeight="1">
      <c r="B12" s="534">
        <v>44013</v>
      </c>
      <c r="C12" s="937">
        <v>121295.71609999999</v>
      </c>
      <c r="D12" s="937">
        <v>132737.07950000002</v>
      </c>
      <c r="E12" s="937">
        <v>155000</v>
      </c>
      <c r="F12" s="937">
        <v>149744.12340967744</v>
      </c>
      <c r="G12" s="937">
        <v>165458.28597741938</v>
      </c>
      <c r="H12" s="437"/>
      <c r="I12" s="437"/>
      <c r="J12" s="437"/>
      <c r="K12" s="437"/>
      <c r="L12" s="437"/>
    </row>
    <row r="13" spans="2:12" s="142" customFormat="1" ht="15.75" customHeight="1">
      <c r="B13" s="534">
        <v>44044</v>
      </c>
      <c r="C13" s="937">
        <v>129115.803</v>
      </c>
      <c r="D13" s="937">
        <v>131226.53839999999</v>
      </c>
      <c r="E13" s="937">
        <v>155000</v>
      </c>
      <c r="F13" s="937">
        <v>157013.88582</v>
      </c>
      <c r="G13" s="937">
        <v>163051.42805333337</v>
      </c>
      <c r="H13" s="437"/>
      <c r="I13" s="437"/>
      <c r="J13" s="437"/>
      <c r="K13" s="437"/>
      <c r="L13" s="437"/>
    </row>
    <row r="14" spans="2:12" s="142" customFormat="1" ht="15.75" customHeight="1">
      <c r="B14" s="534">
        <v>44075</v>
      </c>
      <c r="C14" s="937">
        <v>143643.58199999999</v>
      </c>
      <c r="D14" s="937">
        <v>146783.58599999998</v>
      </c>
      <c r="E14" s="937">
        <v>164750</v>
      </c>
      <c r="F14" s="937">
        <v>173315.73579666668</v>
      </c>
      <c r="G14" s="937">
        <v>178414.08376666668</v>
      </c>
      <c r="H14" s="437"/>
      <c r="I14" s="437"/>
      <c r="J14" s="437"/>
      <c r="K14" s="437"/>
      <c r="L14" s="437"/>
    </row>
    <row r="15" spans="2:12" s="142" customFormat="1" ht="15.75" customHeight="1">
      <c r="B15" s="534">
        <v>44105</v>
      </c>
      <c r="C15" s="937">
        <v>171243.77480000001</v>
      </c>
      <c r="D15" s="937">
        <v>173301.15949999998</v>
      </c>
      <c r="E15" s="937">
        <v>180000</v>
      </c>
      <c r="F15" s="937">
        <v>205230.40207419355</v>
      </c>
      <c r="G15" s="937">
        <v>200871.30410000001</v>
      </c>
      <c r="H15" s="437"/>
      <c r="I15" s="437"/>
      <c r="J15" s="437"/>
      <c r="K15" s="437"/>
      <c r="L15" s="437"/>
    </row>
    <row r="16" spans="2:12" s="142" customFormat="1" ht="15.75" customHeight="1">
      <c r="B16" s="534">
        <v>44136</v>
      </c>
      <c r="C16" s="937">
        <v>172525.31200000001</v>
      </c>
      <c r="D16" s="937">
        <v>171190.272</v>
      </c>
      <c r="E16" s="937">
        <v>190000</v>
      </c>
      <c r="F16" s="937">
        <v>206265.50704137929</v>
      </c>
      <c r="G16" s="937">
        <v>202542.91190689654</v>
      </c>
      <c r="H16" s="437"/>
      <c r="I16" s="437"/>
      <c r="J16" s="437"/>
      <c r="K16" s="437"/>
      <c r="L16" s="437"/>
    </row>
    <row r="17" spans="2:14" s="142" customFormat="1" ht="15.75" customHeight="1">
      <c r="B17" s="534">
        <v>44166</v>
      </c>
      <c r="C17" s="937">
        <v>170023.86929999999</v>
      </c>
      <c r="D17" s="937">
        <v>163190.88030000002</v>
      </c>
      <c r="E17" s="937"/>
      <c r="F17" s="937">
        <v>200624.818845</v>
      </c>
      <c r="G17" s="937">
        <v>199061.72261499998</v>
      </c>
      <c r="H17" s="437"/>
      <c r="I17" s="437"/>
      <c r="J17" s="437"/>
      <c r="K17" s="437"/>
      <c r="L17" s="437"/>
    </row>
    <row r="18" spans="2:14" s="142" customFormat="1" ht="15.75" customHeight="1">
      <c r="B18" s="534">
        <v>44197</v>
      </c>
      <c r="C18" s="937">
        <v>184869.58</v>
      </c>
      <c r="D18" s="937">
        <v>177879.99039999998</v>
      </c>
      <c r="E18" s="937"/>
      <c r="F18" s="937">
        <v>211783.83736774194</v>
      </c>
      <c r="G18" s="937">
        <v>204608.6494516129</v>
      </c>
      <c r="H18" s="437"/>
      <c r="I18" s="437"/>
      <c r="J18" s="437"/>
      <c r="K18" s="437"/>
      <c r="L18" s="437"/>
    </row>
    <row r="19" spans="2:14" s="142" customFormat="1" ht="15.75" customHeight="1">
      <c r="B19" s="534">
        <v>44228</v>
      </c>
      <c r="C19" s="937">
        <v>179089.39290000001</v>
      </c>
      <c r="D19" s="937">
        <v>182803.71109999999</v>
      </c>
      <c r="E19" s="937"/>
      <c r="F19" s="937">
        <v>207290.11847500002</v>
      </c>
      <c r="G19" s="937">
        <v>210700.34007499999</v>
      </c>
      <c r="H19" s="437"/>
      <c r="I19" s="437"/>
      <c r="J19" s="437"/>
      <c r="K19" s="437"/>
      <c r="L19" s="437"/>
    </row>
    <row r="20" spans="2:14" ht="15" customHeight="1">
      <c r="B20" s="1179" t="s">
        <v>392</v>
      </c>
      <c r="C20" s="1179"/>
      <c r="D20" s="1179"/>
      <c r="E20" s="1179"/>
      <c r="F20" s="1179"/>
      <c r="G20" s="1179"/>
    </row>
    <row r="21" spans="2:14" ht="15" customHeight="1">
      <c r="B21" s="2"/>
      <c r="C21" s="361"/>
      <c r="D21" s="18"/>
      <c r="F21" s="361"/>
      <c r="G21" s="18"/>
    </row>
    <row r="22" spans="2:14" ht="12" customHeight="1">
      <c r="C22" s="362"/>
      <c r="D22" s="362"/>
      <c r="E22" s="362"/>
      <c r="F22" s="362"/>
      <c r="G22" s="362"/>
    </row>
    <row r="23" spans="2:14" ht="15" customHeight="1">
      <c r="I23" s="361"/>
      <c r="J23" s="361"/>
      <c r="K23" s="361"/>
      <c r="L23" s="361"/>
      <c r="M23" s="361"/>
      <c r="N23" s="361"/>
    </row>
    <row r="24" spans="2:14" ht="15" customHeight="1">
      <c r="I24" s="361"/>
      <c r="J24" s="361"/>
      <c r="K24" s="361"/>
      <c r="L24" s="361"/>
      <c r="M24" s="361"/>
      <c r="N24" s="361"/>
    </row>
    <row r="25" spans="2:14" ht="15" customHeight="1">
      <c r="I25" s="361"/>
      <c r="J25" s="361"/>
      <c r="K25" s="361"/>
      <c r="L25" s="361"/>
      <c r="M25" s="361"/>
      <c r="N25" s="361"/>
    </row>
    <row r="26" spans="2:14" ht="15" customHeight="1">
      <c r="I26" s="361"/>
      <c r="J26" s="361"/>
      <c r="K26" s="361"/>
      <c r="L26" s="361"/>
      <c r="M26" s="361"/>
      <c r="N26" s="361"/>
    </row>
    <row r="27" spans="2:14" ht="15" customHeight="1">
      <c r="I27" s="361"/>
      <c r="J27" s="361"/>
      <c r="K27" s="361"/>
      <c r="L27" s="361"/>
      <c r="M27" s="361"/>
      <c r="N27" s="361"/>
    </row>
    <row r="28" spans="2:14" ht="15" customHeight="1">
      <c r="I28" s="361"/>
      <c r="J28" s="361"/>
      <c r="K28" s="361"/>
      <c r="L28" s="361"/>
      <c r="M28" s="361"/>
      <c r="N28" s="361"/>
    </row>
    <row r="29" spans="2:14" ht="15" customHeight="1">
      <c r="I29" s="361"/>
      <c r="J29" s="361"/>
      <c r="K29" s="361"/>
      <c r="L29" s="361"/>
      <c r="M29" s="361"/>
      <c r="N29" s="361"/>
    </row>
    <row r="30" spans="2:14" ht="15" customHeight="1">
      <c r="I30" s="361"/>
      <c r="J30" s="361"/>
      <c r="K30" s="361"/>
      <c r="L30" s="361"/>
      <c r="M30" s="361"/>
      <c r="N30" s="361"/>
    </row>
    <row r="31" spans="2:14" ht="15" customHeight="1">
      <c r="I31" s="361"/>
      <c r="J31" s="361"/>
      <c r="K31" s="361"/>
      <c r="L31" s="361"/>
      <c r="M31" s="361"/>
      <c r="N31" s="361"/>
    </row>
    <row r="32" spans="2:14" ht="15" customHeight="1">
      <c r="I32" s="361"/>
      <c r="J32" s="361"/>
      <c r="K32" s="361"/>
      <c r="L32" s="361"/>
      <c r="M32" s="361"/>
      <c r="N32" s="361"/>
    </row>
    <row r="33" spans="2:14" ht="13.5" customHeight="1">
      <c r="I33" s="361"/>
      <c r="J33" s="361"/>
      <c r="K33" s="361"/>
      <c r="L33" s="361"/>
      <c r="M33" s="361"/>
      <c r="N33" s="361"/>
    </row>
    <row r="34" spans="2:14" ht="13.5" customHeight="1">
      <c r="I34" s="361"/>
      <c r="J34" s="361"/>
      <c r="K34" s="361"/>
      <c r="L34" s="361"/>
      <c r="M34" s="361"/>
      <c r="N34" s="361"/>
    </row>
    <row r="35" spans="2:14" ht="13.5" customHeight="1">
      <c r="I35" s="361"/>
      <c r="J35" s="361"/>
      <c r="K35" s="361"/>
      <c r="L35" s="361"/>
      <c r="M35" s="361"/>
      <c r="N35" s="361"/>
    </row>
    <row r="36" spans="2:14" ht="13.5" customHeight="1">
      <c r="I36" s="361"/>
      <c r="J36" s="361"/>
      <c r="K36" s="361"/>
      <c r="L36" s="361"/>
      <c r="M36" s="361"/>
      <c r="N36" s="361"/>
    </row>
    <row r="37" spans="2:14" ht="13.5" customHeight="1">
      <c r="I37" s="361"/>
      <c r="J37" s="361"/>
      <c r="K37" s="361"/>
      <c r="L37" s="361"/>
      <c r="M37" s="361"/>
      <c r="N37" s="361"/>
    </row>
    <row r="38" spans="2:14" ht="13.5" customHeight="1">
      <c r="I38" s="361"/>
      <c r="J38" s="361"/>
      <c r="K38" s="361"/>
      <c r="L38" s="361"/>
      <c r="M38" s="361"/>
      <c r="N38" s="361"/>
    </row>
    <row r="39" spans="2:14" ht="15.75" customHeight="1"/>
    <row r="40" spans="2:14" ht="9.9499999999999993" customHeight="1"/>
    <row r="41" spans="2:14" ht="13.5" customHeight="1">
      <c r="B41" s="16"/>
      <c r="C41" s="16"/>
      <c r="D41" s="16"/>
      <c r="E41" s="16"/>
      <c r="F41" s="16"/>
      <c r="G41" s="16"/>
    </row>
    <row r="42" spans="2:14" ht="13.5" customHeight="1"/>
    <row r="43" spans="2:14" ht="13.5" customHeight="1"/>
    <row r="44" spans="2:14" ht="13.5" customHeight="1"/>
    <row r="45" spans="2:14" ht="13.5" customHeight="1" thickBot="1"/>
    <row r="46" spans="2:14" ht="13.5" customHeight="1" thickBot="1">
      <c r="C46" s="363"/>
      <c r="D46" s="364"/>
      <c r="E46" s="364"/>
      <c r="F46" s="364"/>
      <c r="G46" s="365"/>
      <c r="H46" s="365"/>
      <c r="I46" s="365"/>
      <c r="J46" s="365"/>
      <c r="K46" s="365"/>
      <c r="L46" s="365"/>
      <c r="M46" s="365"/>
    </row>
    <row r="47" spans="2:14" ht="13.5" customHeight="1" thickBot="1">
      <c r="C47" s="366"/>
      <c r="D47" s="367"/>
      <c r="E47" s="367"/>
      <c r="F47" s="367"/>
      <c r="G47" s="365"/>
    </row>
    <row r="48" spans="2:14" ht="13.5" customHeight="1" thickBot="1">
      <c r="C48" s="366"/>
      <c r="D48" s="367"/>
      <c r="E48" s="367"/>
      <c r="F48" s="367"/>
      <c r="G48" s="365"/>
    </row>
    <row r="49" spans="3:7" ht="13.5" customHeight="1" thickBot="1">
      <c r="C49" s="366"/>
      <c r="D49" s="367"/>
      <c r="E49" s="367"/>
      <c r="F49" s="367"/>
      <c r="G49" s="365"/>
    </row>
    <row r="50" spans="3:7" ht="13.5" customHeight="1" thickBot="1">
      <c r="C50" s="366"/>
      <c r="D50" s="367"/>
      <c r="E50" s="367"/>
      <c r="F50" s="367"/>
      <c r="G50" s="365"/>
    </row>
    <row r="51" spans="3:7" ht="13.5" customHeight="1" thickBot="1">
      <c r="C51" s="366"/>
      <c r="D51" s="367"/>
      <c r="E51" s="367"/>
      <c r="F51" s="367"/>
      <c r="G51" s="365"/>
    </row>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sheetData>
  <mergeCells count="4">
    <mergeCell ref="B1:G1"/>
    <mergeCell ref="B3:G3"/>
    <mergeCell ref="B4:G4"/>
    <mergeCell ref="B20:G2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pageSetUpPr fitToPage="1"/>
  </sheetPr>
  <dimension ref="A1:Z89"/>
  <sheetViews>
    <sheetView zoomScaleNormal="100" workbookViewId="0">
      <pane ySplit="1" topLeftCell="A2" activePane="bottomLeft" state="frozen"/>
      <selection activeCell="E1" sqref="E1"/>
      <selection pane="bottomLeft" activeCell="F14" sqref="F14"/>
    </sheetView>
  </sheetViews>
  <sheetFormatPr baseColWidth="10" defaultColWidth="10.90625" defaultRowHeight="12.75"/>
  <cols>
    <col min="1" max="1" width="9" style="685" customWidth="1"/>
    <col min="2" max="4" width="10.90625" style="685"/>
    <col min="5" max="5" width="16.1796875" style="685" customWidth="1"/>
    <col min="6" max="6" width="9.90625" style="1046" customWidth="1"/>
    <col min="7" max="7" width="14.453125" style="1004" customWidth="1"/>
    <col min="8" max="14" width="6.08984375" style="1004" hidden="1" customWidth="1"/>
    <col min="15" max="22" width="6.08984375" style="1004" customWidth="1"/>
    <col min="23" max="23" width="8.26953125" style="893" customWidth="1"/>
    <col min="24" max="25" width="10.90625" style="893"/>
    <col min="26" max="26" width="10.90625" style="1046"/>
    <col min="27" max="16384" width="10.90625" style="685"/>
  </cols>
  <sheetData>
    <row r="1" spans="6:23">
      <c r="F1" s="1044"/>
      <c r="G1" s="998"/>
      <c r="H1" s="999">
        <v>44013</v>
      </c>
      <c r="I1" s="999">
        <v>44044</v>
      </c>
      <c r="J1" s="999">
        <v>44075</v>
      </c>
      <c r="K1" s="999">
        <v>44105</v>
      </c>
      <c r="L1" s="999">
        <v>44136</v>
      </c>
      <c r="M1" s="999">
        <v>44197</v>
      </c>
      <c r="N1" s="999">
        <v>44228</v>
      </c>
      <c r="O1" s="999">
        <v>44256</v>
      </c>
      <c r="P1" s="999"/>
      <c r="Q1" s="999">
        <v>44317</v>
      </c>
      <c r="R1" s="999"/>
      <c r="S1" s="999">
        <v>44378</v>
      </c>
      <c r="T1" s="999"/>
      <c r="U1" s="999">
        <v>44440</v>
      </c>
      <c r="V1" s="1000">
        <v>44531</v>
      </c>
      <c r="W1" s="1001">
        <v>44621</v>
      </c>
    </row>
    <row r="2" spans="6:23">
      <c r="F2" s="1047"/>
      <c r="G2" s="1002">
        <v>43836</v>
      </c>
      <c r="H2" s="1003">
        <v>156.68464</v>
      </c>
      <c r="I2" s="1003"/>
      <c r="J2" s="1003">
        <v>156.48779999999999</v>
      </c>
      <c r="K2" s="1003"/>
      <c r="L2" s="1003"/>
      <c r="M2" s="1003"/>
      <c r="N2" s="1003"/>
      <c r="O2" s="1003">
        <v>161.40879999999999</v>
      </c>
      <c r="P2" s="1003"/>
      <c r="Q2" s="1003"/>
      <c r="R2" s="1003"/>
      <c r="S2" s="1003"/>
      <c r="T2" s="1003"/>
      <c r="U2" s="1003"/>
    </row>
    <row r="3" spans="6:23">
      <c r="F3" s="1047"/>
      <c r="G3" s="1002">
        <v>43843</v>
      </c>
      <c r="H3" s="1003">
        <v>158.55462</v>
      </c>
      <c r="I3" s="1003"/>
      <c r="J3" s="894">
        <v>158.65303999999998</v>
      </c>
      <c r="K3" s="894"/>
      <c r="L3" s="894"/>
      <c r="M3" s="894"/>
      <c r="N3" s="894"/>
      <c r="O3" s="894">
        <v>163.18035999999998</v>
      </c>
      <c r="P3" s="894"/>
      <c r="Q3" s="894"/>
      <c r="R3" s="894"/>
      <c r="S3" s="894"/>
      <c r="T3" s="894"/>
      <c r="U3" s="894"/>
    </row>
    <row r="4" spans="6:23">
      <c r="F4" s="1047"/>
      <c r="G4" s="1002">
        <v>43851</v>
      </c>
      <c r="H4" s="1003">
        <v>157.17674</v>
      </c>
      <c r="I4" s="1003"/>
      <c r="J4" s="894">
        <v>209.73301999999998</v>
      </c>
      <c r="K4" s="894"/>
      <c r="L4" s="894"/>
      <c r="M4" s="894"/>
      <c r="N4" s="894"/>
      <c r="O4" s="894">
        <v>161.11354</v>
      </c>
      <c r="P4" s="894"/>
      <c r="Q4" s="894"/>
      <c r="R4" s="894"/>
      <c r="S4" s="894"/>
      <c r="T4" s="894"/>
      <c r="U4" s="894"/>
    </row>
    <row r="5" spans="6:23">
      <c r="F5" s="1047"/>
      <c r="G5" s="1002">
        <v>43857</v>
      </c>
      <c r="H5" s="1003">
        <v>154.42097999999999</v>
      </c>
      <c r="I5" s="1003"/>
      <c r="J5" s="894">
        <v>204.51675999999998</v>
      </c>
      <c r="K5" s="894"/>
      <c r="L5" s="894"/>
      <c r="M5" s="894"/>
      <c r="N5" s="894"/>
      <c r="O5" s="894">
        <v>159.04671999999999</v>
      </c>
      <c r="P5" s="894"/>
      <c r="Q5" s="894"/>
      <c r="R5" s="894"/>
      <c r="S5" s="894"/>
      <c r="T5" s="894"/>
      <c r="U5" s="894"/>
    </row>
    <row r="6" spans="6:23">
      <c r="F6" s="1047"/>
      <c r="G6" s="1002">
        <v>43864</v>
      </c>
      <c r="H6" s="1003">
        <v>153.33835999999999</v>
      </c>
      <c r="I6" s="1003"/>
      <c r="J6" s="894">
        <v>197.13525999999999</v>
      </c>
      <c r="K6" s="894"/>
      <c r="L6" s="894"/>
      <c r="M6" s="894"/>
      <c r="N6" s="894"/>
      <c r="O6" s="894">
        <v>157.37357999999998</v>
      </c>
      <c r="P6" s="894"/>
      <c r="Q6" s="894"/>
      <c r="R6" s="894"/>
      <c r="S6" s="894"/>
      <c r="T6" s="894"/>
      <c r="U6" s="894"/>
    </row>
    <row r="7" spans="6:23">
      <c r="F7" s="1047"/>
      <c r="G7" s="1002">
        <v>43871</v>
      </c>
      <c r="H7" s="1003">
        <v>153.83045999999999</v>
      </c>
      <c r="I7" s="1003"/>
      <c r="J7" s="894">
        <v>198.61156</v>
      </c>
      <c r="K7" s="894"/>
      <c r="L7" s="894"/>
      <c r="M7" s="894"/>
      <c r="N7" s="894"/>
      <c r="O7" s="894">
        <v>157.47199999999998</v>
      </c>
      <c r="P7" s="894"/>
      <c r="Q7" s="894"/>
      <c r="R7" s="894"/>
      <c r="S7" s="894"/>
      <c r="T7" s="894"/>
      <c r="U7" s="894"/>
    </row>
    <row r="8" spans="6:23">
      <c r="F8" s="1047"/>
      <c r="G8" s="1002">
        <v>43879</v>
      </c>
      <c r="H8" s="894">
        <v>153.73203999999998</v>
      </c>
      <c r="I8" s="894"/>
      <c r="J8" s="894">
        <v>203.92623999999998</v>
      </c>
      <c r="K8" s="894"/>
      <c r="L8" s="894"/>
      <c r="M8" s="894"/>
      <c r="N8" s="894"/>
      <c r="O8" s="894">
        <v>156.38937999999999</v>
      </c>
      <c r="P8" s="894"/>
      <c r="Q8" s="894"/>
      <c r="R8" s="894"/>
      <c r="S8" s="894"/>
      <c r="T8" s="894"/>
      <c r="U8" s="894"/>
    </row>
    <row r="9" spans="6:23">
      <c r="F9" s="1047"/>
      <c r="G9" s="1002">
        <v>43885</v>
      </c>
      <c r="H9" s="894">
        <v>149.40155999999999</v>
      </c>
      <c r="I9" s="894"/>
      <c r="J9" s="894">
        <v>191.72215999999997</v>
      </c>
      <c r="K9" s="894"/>
      <c r="L9" s="894"/>
      <c r="M9" s="894"/>
      <c r="N9" s="894"/>
      <c r="O9" s="894">
        <v>154.32255999999998</v>
      </c>
      <c r="P9" s="894"/>
      <c r="Q9" s="894"/>
      <c r="R9" s="894"/>
      <c r="S9" s="894"/>
      <c r="T9" s="894"/>
      <c r="U9" s="894"/>
    </row>
    <row r="10" spans="6:23">
      <c r="F10" s="1047"/>
      <c r="G10" s="1002">
        <v>43893</v>
      </c>
      <c r="H10" s="894">
        <v>151.07469999999998</v>
      </c>
      <c r="I10" s="894"/>
      <c r="J10" s="894">
        <v>149.89365999999998</v>
      </c>
      <c r="K10" s="894"/>
      <c r="L10" s="894"/>
      <c r="M10" s="894"/>
      <c r="N10" s="894"/>
      <c r="O10" s="894">
        <v>155.30676</v>
      </c>
      <c r="P10" s="894"/>
      <c r="Q10" s="894"/>
      <c r="R10" s="894"/>
      <c r="S10" s="894"/>
      <c r="T10" s="894"/>
      <c r="U10" s="894"/>
    </row>
    <row r="11" spans="6:23">
      <c r="F11" s="1047"/>
      <c r="G11" s="1002">
        <v>43899</v>
      </c>
      <c r="H11" s="894">
        <v>147.63</v>
      </c>
      <c r="I11" s="894"/>
      <c r="J11" s="894">
        <v>146.64579999999998</v>
      </c>
      <c r="K11" s="894"/>
      <c r="L11" s="894"/>
      <c r="M11" s="894"/>
      <c r="N11" s="894"/>
      <c r="O11" s="894">
        <v>152.35415999999998</v>
      </c>
      <c r="P11" s="894"/>
      <c r="Q11" s="894"/>
      <c r="R11" s="894"/>
      <c r="S11" s="894"/>
      <c r="T11" s="894"/>
      <c r="U11" s="894"/>
    </row>
    <row r="12" spans="6:23">
      <c r="F12" s="1047"/>
      <c r="G12" s="1002">
        <v>43906</v>
      </c>
      <c r="H12" s="1003">
        <v>141.13427999999999</v>
      </c>
      <c r="I12" s="1003"/>
      <c r="J12" s="894">
        <v>142.11847999999998</v>
      </c>
      <c r="K12" s="894"/>
      <c r="L12" s="894"/>
      <c r="M12" s="894"/>
      <c r="N12" s="894"/>
      <c r="O12" s="894">
        <v>148.71261999999999</v>
      </c>
      <c r="P12" s="894"/>
      <c r="Q12" s="894"/>
      <c r="R12" s="894"/>
      <c r="S12" s="894"/>
      <c r="T12" s="894"/>
      <c r="U12" s="894"/>
    </row>
    <row r="13" spans="6:23">
      <c r="F13" s="1047"/>
      <c r="G13" s="1002">
        <v>43910</v>
      </c>
      <c r="H13" s="1003">
        <v>137.59116</v>
      </c>
      <c r="I13" s="1003"/>
      <c r="J13" s="894">
        <v>139.65797999999998</v>
      </c>
      <c r="K13" s="894"/>
      <c r="L13" s="894"/>
      <c r="M13" s="894"/>
      <c r="N13" s="894"/>
      <c r="O13" s="894">
        <v>146.94105999999999</v>
      </c>
      <c r="P13" s="894"/>
      <c r="Q13" s="894"/>
      <c r="R13" s="894"/>
      <c r="S13" s="1003"/>
      <c r="T13" s="1003"/>
      <c r="U13" s="1003"/>
      <c r="V13" s="1003"/>
    </row>
    <row r="14" spans="6:23">
      <c r="F14" s="1047"/>
      <c r="G14" s="1002">
        <v>43920</v>
      </c>
      <c r="H14" s="1003">
        <v>136.8038</v>
      </c>
      <c r="I14" s="1003"/>
      <c r="J14" s="894">
        <v>138.57535999999999</v>
      </c>
      <c r="K14" s="894"/>
      <c r="L14" s="894"/>
      <c r="M14" s="894"/>
      <c r="N14" s="894"/>
      <c r="O14" s="894">
        <v>145.36633999999998</v>
      </c>
      <c r="P14" s="894"/>
      <c r="Q14" s="894"/>
      <c r="R14" s="894"/>
      <c r="S14" s="1003"/>
      <c r="T14" s="1003"/>
      <c r="U14" s="1003"/>
      <c r="V14" s="1003"/>
    </row>
    <row r="15" spans="6:23">
      <c r="F15" s="1047"/>
      <c r="G15" s="1002">
        <v>43927</v>
      </c>
      <c r="H15" s="894">
        <v>131.29228000000001</v>
      </c>
      <c r="I15" s="894"/>
      <c r="J15" s="894">
        <v>133.55593999999999</v>
      </c>
      <c r="K15" s="894"/>
      <c r="L15" s="894"/>
      <c r="M15" s="894"/>
      <c r="N15" s="894"/>
      <c r="O15" s="894">
        <v>141.52795999999998</v>
      </c>
      <c r="P15" s="894"/>
      <c r="Q15" s="894"/>
      <c r="R15" s="894"/>
      <c r="S15" s="1003"/>
      <c r="T15" s="1003"/>
      <c r="U15" s="1003"/>
      <c r="V15" s="1003">
        <v>144.87423999999999</v>
      </c>
    </row>
    <row r="16" spans="6:23">
      <c r="F16" s="1047"/>
      <c r="G16" s="1002">
        <v>43934</v>
      </c>
      <c r="H16" s="1003">
        <v>132.3749</v>
      </c>
      <c r="I16" s="1003"/>
      <c r="J16" s="1003">
        <v>134.14645999999999</v>
      </c>
      <c r="K16" s="1003"/>
      <c r="L16" s="1003"/>
      <c r="M16" s="1003"/>
      <c r="N16" s="1003"/>
      <c r="O16" s="1003">
        <v>142.31531999999999</v>
      </c>
      <c r="P16" s="1003"/>
      <c r="Q16" s="1003"/>
      <c r="R16" s="1003"/>
      <c r="S16" s="1003"/>
      <c r="T16" s="1003"/>
      <c r="U16" s="1003"/>
      <c r="V16" s="1003">
        <v>147.33473999999998</v>
      </c>
    </row>
    <row r="17" spans="1:22">
      <c r="F17" s="1047"/>
      <c r="G17" s="1002">
        <v>43941</v>
      </c>
      <c r="H17" s="1003">
        <v>126.86337999999999</v>
      </c>
      <c r="I17" s="1003"/>
      <c r="J17" s="1003">
        <v>128.73336</v>
      </c>
      <c r="K17" s="1003"/>
      <c r="L17" s="1003"/>
      <c r="M17" s="1003"/>
      <c r="N17" s="1003"/>
      <c r="O17" s="1003">
        <v>137.68957999999998</v>
      </c>
      <c r="P17" s="1003"/>
      <c r="Q17" s="1003"/>
      <c r="R17" s="1003"/>
      <c r="S17" s="1003"/>
      <c r="T17" s="1003"/>
      <c r="U17" s="1003"/>
      <c r="V17" s="1003">
        <v>143.79161999999999</v>
      </c>
    </row>
    <row r="18" spans="1:22">
      <c r="F18" s="1047"/>
      <c r="G18" s="1002">
        <v>43948</v>
      </c>
      <c r="H18" s="1003">
        <v>123.32025999999999</v>
      </c>
      <c r="I18" s="1003"/>
      <c r="J18" s="1003">
        <v>125.58391999999999</v>
      </c>
      <c r="K18" s="1003"/>
      <c r="L18" s="1003"/>
      <c r="M18" s="1003"/>
      <c r="N18" s="1003"/>
      <c r="O18" s="1003">
        <v>134.93382</v>
      </c>
      <c r="P18" s="1003"/>
      <c r="Q18" s="1003"/>
      <c r="R18" s="1003"/>
      <c r="S18" s="1003"/>
      <c r="T18" s="1003"/>
      <c r="U18" s="1003"/>
      <c r="V18" s="1003">
        <v>141.03585999999999</v>
      </c>
    </row>
    <row r="19" spans="1:22">
      <c r="F19" s="1047"/>
      <c r="G19" s="1002">
        <v>43955</v>
      </c>
      <c r="H19" s="1003">
        <v>124.20603999999999</v>
      </c>
      <c r="I19" s="1003"/>
      <c r="J19" s="1003">
        <v>126.9618</v>
      </c>
      <c r="K19" s="1003"/>
      <c r="L19" s="1003"/>
      <c r="M19" s="1003"/>
      <c r="N19" s="1003"/>
      <c r="O19" s="1003">
        <v>136.90222</v>
      </c>
      <c r="P19" s="1003"/>
      <c r="Q19" s="1003"/>
      <c r="R19" s="1003"/>
      <c r="S19" s="1003">
        <v>142.51215999999999</v>
      </c>
      <c r="T19" s="1003"/>
      <c r="U19" s="1003"/>
      <c r="V19" s="1003">
        <v>144.18529999999998</v>
      </c>
    </row>
    <row r="20" spans="1:22">
      <c r="F20" s="1047"/>
      <c r="G20" s="1002">
        <v>43962</v>
      </c>
      <c r="H20" s="1003">
        <v>125.38708</v>
      </c>
      <c r="I20" s="1003"/>
      <c r="J20" s="1003">
        <v>127.55231999999999</v>
      </c>
      <c r="K20" s="1003"/>
      <c r="L20" s="1003"/>
      <c r="M20" s="1003"/>
      <c r="N20" s="1003"/>
      <c r="O20" s="1003">
        <v>136.90222</v>
      </c>
      <c r="P20" s="1003"/>
      <c r="Q20" s="1003"/>
      <c r="R20" s="1003"/>
      <c r="S20" s="1003">
        <v>141.92164</v>
      </c>
      <c r="T20" s="1003"/>
      <c r="U20" s="1003"/>
      <c r="V20" s="1003">
        <v>143.49635999999998</v>
      </c>
    </row>
    <row r="21" spans="1:22" ht="12" customHeight="1">
      <c r="G21" s="1002">
        <v>43969</v>
      </c>
      <c r="H21" s="1003">
        <v>126.27285999999999</v>
      </c>
      <c r="I21" s="1003"/>
      <c r="J21" s="1003">
        <v>127.65073999999998</v>
      </c>
      <c r="K21" s="1003"/>
      <c r="L21" s="1003"/>
      <c r="M21" s="1003"/>
      <c r="N21" s="1003"/>
      <c r="O21" s="1003">
        <v>135.91801999999998</v>
      </c>
      <c r="P21" s="1003"/>
      <c r="Q21" s="1003"/>
      <c r="R21" s="1003"/>
      <c r="S21" s="1003">
        <v>140.7406</v>
      </c>
      <c r="T21" s="1003"/>
      <c r="U21" s="1003"/>
      <c r="V21" s="1003">
        <v>143.00425999999999</v>
      </c>
    </row>
    <row r="22" spans="1:22">
      <c r="A22" s="848"/>
      <c r="G22" s="1002">
        <v>43977</v>
      </c>
      <c r="H22" s="1003">
        <v>125.58391999999999</v>
      </c>
      <c r="I22" s="1003"/>
      <c r="J22" s="1003">
        <v>127.55231999999999</v>
      </c>
      <c r="K22" s="1003"/>
      <c r="L22" s="1003"/>
      <c r="M22" s="1003"/>
      <c r="N22" s="1003"/>
      <c r="O22" s="1003">
        <v>136.41011999999998</v>
      </c>
      <c r="P22" s="1003"/>
      <c r="Q22" s="1003"/>
      <c r="R22" s="1003"/>
      <c r="S22" s="1003">
        <v>141.42954</v>
      </c>
      <c r="T22" s="1003"/>
      <c r="U22" s="1003"/>
      <c r="V22" s="1003">
        <v>143.79161999999999</v>
      </c>
    </row>
    <row r="23" spans="1:22">
      <c r="G23" s="1002">
        <v>43983</v>
      </c>
      <c r="H23" s="1003">
        <v>127.25706</v>
      </c>
      <c r="I23" s="1003"/>
      <c r="J23" s="1003">
        <v>128.83177999999998</v>
      </c>
      <c r="K23" s="1003"/>
      <c r="L23" s="1003"/>
      <c r="M23" s="1003"/>
      <c r="N23" s="1003"/>
      <c r="O23" s="1003">
        <v>136.8038</v>
      </c>
      <c r="P23" s="1003"/>
      <c r="Q23" s="1003"/>
      <c r="R23" s="1003"/>
      <c r="S23" s="1003">
        <v>141.42954</v>
      </c>
      <c r="T23" s="1003"/>
      <c r="U23" s="1003"/>
      <c r="V23" s="1003">
        <v>143.79161999999999</v>
      </c>
    </row>
    <row r="24" spans="1:22">
      <c r="G24" s="1002">
        <v>43990</v>
      </c>
      <c r="H24" s="1003">
        <v>131.39069999999998</v>
      </c>
      <c r="I24" s="1003"/>
      <c r="J24" s="1003">
        <v>133.16226</v>
      </c>
      <c r="K24" s="1003"/>
      <c r="L24" s="1003"/>
      <c r="M24" s="1003"/>
      <c r="N24" s="1003"/>
      <c r="O24" s="1003">
        <v>141.33112</v>
      </c>
      <c r="P24" s="1003"/>
      <c r="Q24" s="1003"/>
      <c r="R24" s="1003"/>
      <c r="S24" s="1003">
        <v>145.85844</v>
      </c>
      <c r="T24" s="1003"/>
      <c r="U24" s="1003"/>
      <c r="V24" s="1003">
        <v>148.61419999999998</v>
      </c>
    </row>
    <row r="25" spans="1:22">
      <c r="A25" s="874" t="s">
        <v>493</v>
      </c>
      <c r="F25" s="1049"/>
      <c r="G25" s="1002">
        <v>43997</v>
      </c>
      <c r="H25" s="1003">
        <v>129.61913999999999</v>
      </c>
      <c r="I25" s="1003"/>
      <c r="J25" s="1003">
        <v>131.39069999999998</v>
      </c>
      <c r="K25" s="1003"/>
      <c r="L25" s="1003"/>
      <c r="M25" s="1003"/>
      <c r="N25" s="1003"/>
      <c r="O25" s="1003">
        <v>139.06745999999998</v>
      </c>
      <c r="P25" s="1003"/>
      <c r="Q25" s="1003"/>
      <c r="R25" s="1003"/>
      <c r="S25" s="1003">
        <v>143.69319999999999</v>
      </c>
      <c r="T25" s="1003"/>
      <c r="U25" s="1003"/>
      <c r="V25" s="1003">
        <v>146.44896</v>
      </c>
    </row>
    <row r="26" spans="1:22">
      <c r="F26" s="1049"/>
      <c r="G26" s="1002">
        <v>44004</v>
      </c>
      <c r="H26" s="1003">
        <v>129.22546</v>
      </c>
      <c r="I26" s="1003"/>
      <c r="J26" s="1003">
        <v>131.09544</v>
      </c>
      <c r="K26" s="1003"/>
      <c r="L26" s="1003"/>
      <c r="M26" s="1003"/>
      <c r="N26" s="1003"/>
      <c r="O26" s="1003">
        <v>139.16587999999999</v>
      </c>
      <c r="P26" s="1003"/>
      <c r="Q26" s="1003"/>
      <c r="R26" s="1003"/>
      <c r="S26" s="1003">
        <v>143.89004</v>
      </c>
      <c r="T26" s="1003"/>
      <c r="U26" s="1003"/>
      <c r="V26" s="1003">
        <v>146.54738</v>
      </c>
    </row>
    <row r="27" spans="1:22">
      <c r="F27" s="1049"/>
      <c r="G27" s="1002">
        <v>44011</v>
      </c>
      <c r="H27" s="1003">
        <v>128.43809999999999</v>
      </c>
      <c r="I27" s="1003"/>
      <c r="J27" s="1003">
        <v>129.42229999999998</v>
      </c>
      <c r="K27" s="1003"/>
      <c r="L27" s="1003"/>
      <c r="M27" s="1003"/>
      <c r="N27" s="1003"/>
      <c r="O27" s="1003">
        <v>136.01643999999999</v>
      </c>
      <c r="P27" s="1003"/>
      <c r="Q27" s="1003"/>
      <c r="R27" s="1003"/>
      <c r="S27" s="1003">
        <v>141.13427999999999</v>
      </c>
      <c r="T27" s="1003"/>
      <c r="U27" s="1003"/>
      <c r="V27" s="1003">
        <v>144.28371999999999</v>
      </c>
    </row>
    <row r="28" spans="1:22">
      <c r="F28" s="1048"/>
      <c r="G28" s="1002">
        <v>44018</v>
      </c>
      <c r="H28" s="1003">
        <v>136.41011999999998</v>
      </c>
      <c r="I28" s="1003"/>
      <c r="J28" s="1003">
        <v>136.41011999999998</v>
      </c>
      <c r="K28" s="1003"/>
      <c r="L28" s="1003"/>
      <c r="M28" s="1003"/>
      <c r="N28" s="1003"/>
      <c r="O28" s="1003">
        <v>144.67739999999998</v>
      </c>
      <c r="P28" s="1003"/>
      <c r="Q28" s="1003"/>
      <c r="R28" s="1003"/>
      <c r="S28" s="1003">
        <v>148.41736</v>
      </c>
      <c r="T28" s="1003"/>
      <c r="U28" s="1003"/>
      <c r="V28" s="1003">
        <v>147.72842</v>
      </c>
    </row>
    <row r="29" spans="1:22">
      <c r="F29" s="1048"/>
      <c r="G29" s="1002">
        <v>44025</v>
      </c>
      <c r="H29" s="1003">
        <v>131.48911999999999</v>
      </c>
      <c r="I29" s="1003"/>
      <c r="J29" s="1003">
        <v>129.42229999999998</v>
      </c>
      <c r="K29" s="1003"/>
      <c r="L29" s="1003"/>
      <c r="M29" s="1003"/>
      <c r="N29" s="1003"/>
      <c r="O29" s="1003">
        <v>136.8038</v>
      </c>
      <c r="P29" s="1003"/>
      <c r="Q29" s="1003"/>
      <c r="R29" s="1003"/>
      <c r="S29" s="1003">
        <v>141.52795999999998</v>
      </c>
      <c r="T29" s="1003"/>
      <c r="U29" s="1003"/>
      <c r="V29" s="1003">
        <v>144.18529999999998</v>
      </c>
    </row>
    <row r="30" spans="1:22">
      <c r="F30" s="1050"/>
      <c r="G30" s="1005">
        <v>44032</v>
      </c>
      <c r="H30" s="1003"/>
      <c r="I30" s="1006"/>
      <c r="J30" s="1006">
        <v>129.22546</v>
      </c>
      <c r="K30" s="1006"/>
      <c r="L30" s="1006"/>
      <c r="M30" s="1006"/>
      <c r="N30" s="1006"/>
      <c r="O30" s="1006">
        <v>136.3117</v>
      </c>
      <c r="P30" s="1006"/>
      <c r="Q30" s="1006"/>
      <c r="R30" s="1006"/>
      <c r="S30" s="1006">
        <v>141.03585999999999</v>
      </c>
      <c r="T30" s="1006"/>
      <c r="U30" s="1006"/>
      <c r="V30" s="1006">
        <v>144.08687999999998</v>
      </c>
    </row>
    <row r="31" spans="1:22">
      <c r="F31" s="1050"/>
      <c r="G31" s="1005">
        <v>44039</v>
      </c>
      <c r="I31" s="893"/>
      <c r="J31" s="1006">
        <v>127.946</v>
      </c>
      <c r="K31" s="1006"/>
      <c r="L31" s="1006"/>
      <c r="M31" s="1006"/>
      <c r="N31" s="1006"/>
      <c r="O31" s="1006">
        <v>136.01643999999999</v>
      </c>
      <c r="P31" s="1006"/>
      <c r="Q31" s="1006"/>
      <c r="R31" s="1006"/>
      <c r="S31" s="1006">
        <v>140.83902</v>
      </c>
      <c r="T31" s="1006"/>
      <c r="U31" s="1006"/>
      <c r="V31" s="1006">
        <v>144.38213999999999</v>
      </c>
    </row>
    <row r="32" spans="1:22">
      <c r="F32" s="1050"/>
      <c r="G32" s="1005">
        <v>44046</v>
      </c>
      <c r="I32" s="893"/>
      <c r="J32" s="1006">
        <v>124.99339999999999</v>
      </c>
      <c r="K32" s="1006"/>
      <c r="L32" s="1006"/>
      <c r="M32" s="1006"/>
      <c r="N32" s="1006"/>
      <c r="O32" s="1006">
        <v>133.94961999999998</v>
      </c>
      <c r="P32" s="1006"/>
      <c r="Q32" s="1006"/>
      <c r="R32" s="1006"/>
      <c r="S32" s="1006">
        <v>139.26429999999999</v>
      </c>
      <c r="T32" s="1006"/>
      <c r="U32" s="1006">
        <v>140.24849999999998</v>
      </c>
      <c r="V32" s="1006">
        <v>142.709</v>
      </c>
    </row>
    <row r="33" spans="6:23">
      <c r="F33" s="1048"/>
      <c r="G33" s="1005">
        <v>44053</v>
      </c>
      <c r="J33" s="1003">
        <v>122.23764</v>
      </c>
      <c r="K33" s="1003"/>
      <c r="L33" s="1003"/>
      <c r="M33" s="1003"/>
      <c r="N33" s="1003"/>
      <c r="O33" s="1003">
        <v>131.78438</v>
      </c>
      <c r="P33" s="1003"/>
      <c r="Q33" s="1003"/>
      <c r="R33" s="1003"/>
      <c r="S33" s="1003">
        <v>137.59116</v>
      </c>
      <c r="T33" s="1003"/>
      <c r="U33" s="1003">
        <v>139.46114</v>
      </c>
      <c r="V33" s="1003">
        <v>142.41373999999999</v>
      </c>
    </row>
    <row r="34" spans="6:23">
      <c r="F34" s="1048"/>
      <c r="G34" s="1005">
        <v>44060</v>
      </c>
      <c r="J34" s="1003">
        <v>130.30807999999999</v>
      </c>
      <c r="K34" s="1003"/>
      <c r="L34" s="1003"/>
      <c r="M34" s="1003"/>
      <c r="N34" s="1003"/>
      <c r="O34" s="1003">
        <v>140.44533999999999</v>
      </c>
      <c r="P34" s="1003"/>
      <c r="Q34" s="1003"/>
      <c r="R34" s="1003"/>
      <c r="S34" s="1003">
        <v>145.46475999999998</v>
      </c>
      <c r="T34" s="1003"/>
      <c r="U34" s="1003">
        <v>145.85844</v>
      </c>
      <c r="V34" s="1003">
        <v>148.31894</v>
      </c>
    </row>
    <row r="35" spans="6:23">
      <c r="F35" s="1048"/>
      <c r="G35" s="1005">
        <v>44067</v>
      </c>
      <c r="J35" s="1003">
        <v>130.60334</v>
      </c>
      <c r="K35" s="1003"/>
      <c r="L35" s="1003"/>
      <c r="M35" s="1003"/>
      <c r="N35" s="1003"/>
      <c r="O35" s="1003">
        <v>140.54375999999999</v>
      </c>
      <c r="P35" s="1003"/>
      <c r="Q35" s="1003"/>
      <c r="R35" s="1003"/>
      <c r="S35" s="1003">
        <v>145.26792</v>
      </c>
      <c r="T35" s="1003"/>
      <c r="U35" s="1003">
        <v>145.76002</v>
      </c>
      <c r="V35" s="1003">
        <v>148.31894</v>
      </c>
      <c r="W35" s="1003"/>
    </row>
    <row r="36" spans="6:23">
      <c r="F36" s="1048"/>
      <c r="G36" s="1005">
        <v>44074</v>
      </c>
      <c r="J36" s="1003">
        <v>137.19747999999998</v>
      </c>
      <c r="K36" s="1003"/>
      <c r="L36" s="1003"/>
      <c r="M36" s="1003"/>
      <c r="N36" s="1003"/>
      <c r="O36" s="1003">
        <v>144.67739999999998</v>
      </c>
      <c r="P36" s="1003"/>
      <c r="Q36" s="1003"/>
      <c r="R36" s="1003"/>
      <c r="S36" s="1003">
        <v>148.81103999999999</v>
      </c>
      <c r="T36" s="1003"/>
      <c r="U36" s="1003">
        <v>147.82684</v>
      </c>
      <c r="V36" s="1003">
        <v>149.69682</v>
      </c>
      <c r="W36" s="1003"/>
    </row>
    <row r="37" spans="6:23">
      <c r="G37" s="1005">
        <v>44082</v>
      </c>
      <c r="J37" s="1003">
        <v>138.18168</v>
      </c>
      <c r="K37" s="1003"/>
      <c r="L37" s="1003"/>
      <c r="M37" s="1003"/>
      <c r="N37" s="1003"/>
      <c r="O37" s="1003">
        <v>146.44896</v>
      </c>
      <c r="P37" s="1003"/>
      <c r="Q37" s="1003"/>
      <c r="R37" s="1003"/>
      <c r="S37" s="1003">
        <v>150.68101999999999</v>
      </c>
      <c r="T37" s="1003"/>
      <c r="U37" s="1003">
        <v>149.49997999999999</v>
      </c>
      <c r="V37" s="1003">
        <v>151.96047999999999</v>
      </c>
      <c r="W37" s="1003"/>
    </row>
    <row r="38" spans="6:23">
      <c r="F38" s="1048"/>
      <c r="G38" s="1005">
        <v>44088</v>
      </c>
      <c r="M38" s="1006"/>
      <c r="N38" s="1006"/>
      <c r="O38" s="1006">
        <v>149.20471999999998</v>
      </c>
      <c r="P38" s="1006"/>
      <c r="Q38" s="1006"/>
      <c r="R38" s="1006"/>
      <c r="S38" s="1006">
        <v>152.84626</v>
      </c>
      <c r="T38" s="1006"/>
      <c r="U38" s="1006">
        <v>151.27153999999999</v>
      </c>
      <c r="V38" s="1006">
        <v>153.33835999999999</v>
      </c>
      <c r="W38" s="1006"/>
    </row>
    <row r="39" spans="6:23">
      <c r="F39" s="1048"/>
      <c r="G39" s="1005">
        <v>44095</v>
      </c>
      <c r="M39" s="1006"/>
      <c r="N39" s="1006"/>
      <c r="O39" s="1006">
        <v>149.30313999999998</v>
      </c>
      <c r="P39" s="1006"/>
      <c r="Q39" s="1006"/>
      <c r="R39" s="1006"/>
      <c r="S39" s="1006">
        <v>153.04309999999998</v>
      </c>
      <c r="T39" s="1006"/>
      <c r="U39" s="1006">
        <v>150.77943999999999</v>
      </c>
      <c r="V39" s="1006">
        <v>152.84626</v>
      </c>
      <c r="W39" s="1006">
        <v>145.59809999999999</v>
      </c>
    </row>
    <row r="40" spans="6:23">
      <c r="F40" s="1048"/>
      <c r="G40" s="1005">
        <v>44102</v>
      </c>
      <c r="M40" s="1006"/>
      <c r="N40" s="1006"/>
      <c r="O40" s="1006">
        <v>147.82684</v>
      </c>
      <c r="P40" s="1006"/>
      <c r="Q40" s="1006"/>
      <c r="R40" s="1006"/>
      <c r="S40" s="1006">
        <v>151.5668</v>
      </c>
      <c r="T40" s="1006"/>
      <c r="U40" s="1006">
        <v>149.49997999999999</v>
      </c>
      <c r="V40" s="1006">
        <v>151.36995999999999</v>
      </c>
      <c r="W40" s="1006">
        <v>144.31206</v>
      </c>
    </row>
    <row r="41" spans="6:23">
      <c r="F41" s="1051"/>
      <c r="G41" s="1005">
        <v>44109</v>
      </c>
      <c r="M41" s="1006"/>
      <c r="N41" s="1006"/>
      <c r="O41" s="1006">
        <v>153.23993999999999</v>
      </c>
      <c r="P41" s="1006"/>
      <c r="Q41" s="1006"/>
      <c r="R41" s="1006"/>
      <c r="S41" s="1006">
        <v>156.78305999999998</v>
      </c>
      <c r="T41" s="1006"/>
      <c r="U41" s="1006">
        <v>153.04309999999998</v>
      </c>
      <c r="V41" s="1006">
        <v>154.12572</v>
      </c>
      <c r="W41" s="1006">
        <v>146.79228000000001</v>
      </c>
    </row>
    <row r="42" spans="6:23">
      <c r="F42" s="1048"/>
      <c r="G42" s="1005">
        <v>44116</v>
      </c>
      <c r="M42" s="1006"/>
      <c r="N42" s="1006"/>
      <c r="O42" s="1006">
        <v>156.19253999999998</v>
      </c>
      <c r="P42" s="1006"/>
      <c r="Q42" s="1006"/>
      <c r="R42" s="1006"/>
      <c r="S42" s="1006">
        <v>158.94829999999999</v>
      </c>
      <c r="T42" s="1006"/>
      <c r="U42" s="1006">
        <v>153.73203999999998</v>
      </c>
      <c r="V42" s="1006">
        <v>154.61781999999999</v>
      </c>
      <c r="W42" s="1006">
        <v>146.976</v>
      </c>
    </row>
    <row r="43" spans="6:23">
      <c r="F43" s="1048"/>
      <c r="G43" s="1005">
        <v>44123</v>
      </c>
      <c r="M43" s="894"/>
      <c r="N43" s="894"/>
      <c r="O43" s="894">
        <v>161.60563999999999</v>
      </c>
      <c r="P43" s="894"/>
      <c r="Q43" s="894"/>
      <c r="R43" s="894"/>
      <c r="S43" s="894">
        <v>162.19615999999999</v>
      </c>
      <c r="T43" s="894"/>
      <c r="U43" s="894">
        <v>156.38937999999999</v>
      </c>
      <c r="V43" s="1006">
        <v>156.68464</v>
      </c>
      <c r="W43" s="1006">
        <v>148.99691999999999</v>
      </c>
    </row>
    <row r="44" spans="6:23">
      <c r="F44" s="1048"/>
      <c r="G44" s="1005">
        <v>44130</v>
      </c>
      <c r="M44" s="894"/>
      <c r="N44" s="894"/>
      <c r="O44" s="894">
        <v>164.75507999999999</v>
      </c>
      <c r="P44" s="894"/>
      <c r="Q44" s="894"/>
      <c r="R44" s="894"/>
      <c r="S44" s="894">
        <v>165.05033999999998</v>
      </c>
      <c r="T44" s="894"/>
      <c r="U44" s="894">
        <v>156.09412</v>
      </c>
      <c r="V44" s="1006">
        <v>154.42097999999999</v>
      </c>
      <c r="W44" s="1006">
        <v>146.14926</v>
      </c>
    </row>
    <row r="45" spans="6:23">
      <c r="F45" s="1048"/>
      <c r="G45" s="1005">
        <v>44137</v>
      </c>
      <c r="M45" s="894"/>
      <c r="N45" s="894"/>
      <c r="O45" s="894">
        <v>158.16093999999998</v>
      </c>
      <c r="P45" s="894"/>
      <c r="Q45" s="894"/>
      <c r="R45" s="894"/>
      <c r="S45" s="894">
        <v>159.93249999999998</v>
      </c>
      <c r="T45" s="894"/>
      <c r="U45" s="894">
        <v>152.55099999999999</v>
      </c>
      <c r="V45" s="1006">
        <v>152.55099999999999</v>
      </c>
      <c r="W45" s="1006">
        <v>144.77135999999999</v>
      </c>
    </row>
    <row r="46" spans="6:23">
      <c r="F46" s="1048"/>
      <c r="G46" s="1005">
        <v>44144</v>
      </c>
      <c r="M46" s="894"/>
      <c r="N46" s="894"/>
      <c r="O46" s="894">
        <v>163.47561999999999</v>
      </c>
      <c r="P46" s="894"/>
      <c r="Q46" s="894"/>
      <c r="R46" s="894"/>
      <c r="S46" s="894">
        <v>165.83769999999998</v>
      </c>
      <c r="T46" s="894"/>
      <c r="U46" s="894">
        <v>156.78305999999998</v>
      </c>
      <c r="V46" s="1006">
        <v>156.48779999999999</v>
      </c>
      <c r="W46" s="1006">
        <v>147.98645999999999</v>
      </c>
    </row>
    <row r="47" spans="6:23">
      <c r="F47" s="1048"/>
      <c r="G47" s="1005">
        <v>44151</v>
      </c>
      <c r="M47" s="894"/>
      <c r="N47" s="894"/>
      <c r="O47" s="894">
        <v>167.01873999999998</v>
      </c>
      <c r="P47" s="894"/>
      <c r="Q47" s="894"/>
      <c r="R47" s="894"/>
      <c r="S47" s="894">
        <v>169.18397999999999</v>
      </c>
      <c r="T47" s="894"/>
      <c r="U47" s="894">
        <v>161.40879999999999</v>
      </c>
      <c r="V47" s="894">
        <v>160.32617999999999</v>
      </c>
      <c r="W47" s="894">
        <v>151.38527999999999</v>
      </c>
    </row>
    <row r="48" spans="6:23">
      <c r="F48" s="1047"/>
      <c r="G48" s="1005">
        <v>44158</v>
      </c>
      <c r="M48" s="894"/>
      <c r="N48" s="894"/>
      <c r="O48" s="894">
        <v>170.56186</v>
      </c>
      <c r="P48" s="894"/>
      <c r="Q48" s="894"/>
      <c r="R48" s="894"/>
      <c r="S48" s="894">
        <v>171.74289999999999</v>
      </c>
      <c r="T48" s="894"/>
      <c r="U48" s="894">
        <v>162.98352</v>
      </c>
      <c r="V48" s="894">
        <v>161.80248</v>
      </c>
      <c r="W48" s="894">
        <v>152.57945999999998</v>
      </c>
    </row>
    <row r="49" spans="6:24">
      <c r="F49" s="1047"/>
      <c r="G49" s="1005">
        <v>44165</v>
      </c>
      <c r="M49" s="894"/>
      <c r="N49" s="894"/>
      <c r="O49" s="894">
        <v>167.70767999999998</v>
      </c>
      <c r="P49" s="894"/>
      <c r="Q49" s="894"/>
      <c r="R49" s="894"/>
      <c r="S49" s="894">
        <v>169.18397999999999</v>
      </c>
      <c r="T49" s="894"/>
      <c r="U49" s="894">
        <v>161.80248</v>
      </c>
      <c r="V49" s="894">
        <v>160.62143999999998</v>
      </c>
      <c r="W49" s="894">
        <v>152.12016</v>
      </c>
    </row>
    <row r="50" spans="6:24">
      <c r="F50" s="1047"/>
      <c r="G50" s="1005">
        <v>44172</v>
      </c>
      <c r="M50" s="894"/>
      <c r="N50" s="894"/>
      <c r="O50" s="894">
        <v>166.92031999999998</v>
      </c>
      <c r="P50" s="894"/>
      <c r="Q50" s="894"/>
      <c r="R50" s="894"/>
      <c r="S50" s="894">
        <v>168.39661999999998</v>
      </c>
      <c r="T50" s="894"/>
      <c r="U50" s="894">
        <v>162.68825999999999</v>
      </c>
      <c r="V50" s="894">
        <v>161.80248</v>
      </c>
      <c r="W50" s="894">
        <v>153.13061999999999</v>
      </c>
      <c r="X50" s="894"/>
    </row>
    <row r="51" spans="6:24">
      <c r="F51" s="1045"/>
      <c r="G51" s="1005">
        <v>44179</v>
      </c>
      <c r="M51" s="894"/>
      <c r="N51" s="894"/>
      <c r="O51" s="894">
        <v>166.92031999999998</v>
      </c>
      <c r="P51" s="894"/>
      <c r="Q51" s="894"/>
      <c r="R51" s="894"/>
      <c r="S51" s="894">
        <v>168.69188</v>
      </c>
      <c r="T51" s="894"/>
      <c r="U51" s="894">
        <v>162.68825999999999</v>
      </c>
      <c r="V51" s="894">
        <v>162.09773999999999</v>
      </c>
      <c r="W51" s="894">
        <v>153.22247999999999</v>
      </c>
      <c r="X51" s="894"/>
    </row>
    <row r="52" spans="6:24">
      <c r="F52" s="1045"/>
      <c r="G52" s="1005">
        <v>44186</v>
      </c>
      <c r="M52" s="894"/>
      <c r="N52" s="894"/>
      <c r="O52" s="894">
        <v>173.2192</v>
      </c>
      <c r="P52" s="894"/>
      <c r="Q52" s="894"/>
      <c r="R52" s="894"/>
      <c r="S52" s="894">
        <v>174.10497999999998</v>
      </c>
      <c r="T52" s="894"/>
      <c r="U52" s="894">
        <v>167.41242</v>
      </c>
      <c r="V52" s="894">
        <v>165.34559999999999</v>
      </c>
      <c r="W52" s="894">
        <v>156.16200000000001</v>
      </c>
      <c r="X52" s="894"/>
    </row>
    <row r="53" spans="6:24">
      <c r="F53" s="1045"/>
      <c r="G53" s="1005">
        <v>44193</v>
      </c>
      <c r="O53" s="894">
        <v>179.71491999999998</v>
      </c>
      <c r="P53" s="894"/>
      <c r="Q53" s="894"/>
      <c r="R53" s="894"/>
      <c r="S53" s="894">
        <v>178.92756</v>
      </c>
      <c r="T53" s="894"/>
      <c r="U53" s="894">
        <v>170.75869999999998</v>
      </c>
      <c r="V53" s="894">
        <v>168.00294</v>
      </c>
      <c r="W53" s="894">
        <v>158.27477999999999</v>
      </c>
      <c r="X53" s="894"/>
    </row>
    <row r="54" spans="6:24">
      <c r="F54" s="1045"/>
      <c r="G54" s="1005">
        <v>44200</v>
      </c>
      <c r="O54" s="894">
        <v>190.44269999999997</v>
      </c>
      <c r="P54" s="894"/>
      <c r="Q54" s="894"/>
      <c r="R54" s="894"/>
      <c r="S54" s="894">
        <v>189.85217999999998</v>
      </c>
      <c r="T54" s="894"/>
      <c r="U54" s="894">
        <v>176.07337999999999</v>
      </c>
      <c r="V54" s="894">
        <v>171.05395999999999</v>
      </c>
      <c r="W54" s="894">
        <v>161.85731999999999</v>
      </c>
      <c r="X54" s="894"/>
    </row>
    <row r="55" spans="6:24">
      <c r="F55" s="1050"/>
      <c r="G55" s="1005">
        <v>44207</v>
      </c>
      <c r="O55" s="894">
        <v>193.78897999999998</v>
      </c>
      <c r="P55" s="894"/>
      <c r="Q55" s="894">
        <v>194.47791999999998</v>
      </c>
      <c r="R55" s="894"/>
      <c r="S55" s="894">
        <v>193.39529999999999</v>
      </c>
      <c r="T55" s="894"/>
      <c r="U55" s="894">
        <v>179.51808</v>
      </c>
      <c r="V55" s="894">
        <v>173.51445999999999</v>
      </c>
      <c r="W55" s="894">
        <v>164.24567999999999</v>
      </c>
      <c r="X55" s="894"/>
    </row>
    <row r="56" spans="6:24">
      <c r="F56" s="1050"/>
      <c r="G56" s="1005">
        <v>44215</v>
      </c>
      <c r="O56" s="894">
        <v>207.07567999999998</v>
      </c>
      <c r="P56" s="894"/>
      <c r="Q56" s="894">
        <v>207.96145999999999</v>
      </c>
      <c r="R56" s="894"/>
      <c r="S56" s="894">
        <v>206.68199999999999</v>
      </c>
      <c r="T56" s="894"/>
      <c r="U56" s="894">
        <v>188.08061999999998</v>
      </c>
      <c r="V56" s="894">
        <v>179.12439999999998</v>
      </c>
      <c r="W56" s="894">
        <v>169.48169999999999</v>
      </c>
    </row>
    <row r="57" spans="6:24">
      <c r="F57" s="1050"/>
      <c r="G57" s="1005">
        <v>44221</v>
      </c>
      <c r="O57" s="894">
        <v>201.36731999999998</v>
      </c>
      <c r="P57" s="894"/>
      <c r="Q57" s="894">
        <v>202.44994</v>
      </c>
      <c r="R57" s="894"/>
      <c r="S57" s="894">
        <v>200.77679999999998</v>
      </c>
      <c r="T57" s="894"/>
      <c r="U57" s="894">
        <v>180.60069999999999</v>
      </c>
      <c r="V57" s="894">
        <v>171.15237999999999</v>
      </c>
      <c r="W57" s="894">
        <v>162.22476</v>
      </c>
    </row>
    <row r="58" spans="6:24">
      <c r="F58" s="1050"/>
      <c r="G58" s="1005">
        <v>44228</v>
      </c>
      <c r="O58" s="894">
        <v>216.22873999999999</v>
      </c>
      <c r="P58" s="894"/>
      <c r="Q58" s="894">
        <v>215.93347999999997</v>
      </c>
      <c r="R58" s="894"/>
      <c r="S58" s="894">
        <v>211.30774</v>
      </c>
      <c r="T58" s="894"/>
      <c r="U58" s="894">
        <v>185.71853999999999</v>
      </c>
      <c r="V58" s="894">
        <v>176.27021999999999</v>
      </c>
      <c r="W58" s="894">
        <v>166.54218</v>
      </c>
    </row>
    <row r="59" spans="6:24">
      <c r="F59" s="1050"/>
      <c r="G59" s="1005">
        <v>44235</v>
      </c>
      <c r="O59" s="894">
        <v>221.93709999999999</v>
      </c>
      <c r="P59" s="894"/>
      <c r="Q59" s="894">
        <v>221.24815999999998</v>
      </c>
      <c r="R59" s="894"/>
      <c r="S59" s="894">
        <v>215.73663999999999</v>
      </c>
      <c r="T59" s="894"/>
      <c r="U59" s="894">
        <v>191.23005999999998</v>
      </c>
      <c r="V59" s="894">
        <v>180.40385999999998</v>
      </c>
      <c r="W59" s="894">
        <v>170.76774</v>
      </c>
    </row>
    <row r="60" spans="6:24">
      <c r="F60" s="1047"/>
      <c r="G60" s="1005">
        <v>44243</v>
      </c>
      <c r="O60" s="894">
        <v>217.40977999999998</v>
      </c>
      <c r="P60" s="894"/>
      <c r="Q60" s="894">
        <v>216.42558</v>
      </c>
      <c r="R60" s="894"/>
      <c r="S60" s="894">
        <v>211.79983999999999</v>
      </c>
      <c r="T60" s="894"/>
      <c r="U60" s="894">
        <v>190.24585999999999</v>
      </c>
      <c r="V60" s="894">
        <v>180.20702</v>
      </c>
      <c r="W60" s="894">
        <v>170.67588000000001</v>
      </c>
    </row>
    <row r="61" spans="6:24">
      <c r="F61" s="1047"/>
      <c r="G61" s="1005">
        <v>44249</v>
      </c>
      <c r="O61" s="894">
        <v>216.91767999999999</v>
      </c>
      <c r="P61" s="894"/>
      <c r="Q61" s="894">
        <v>216.72083999999998</v>
      </c>
      <c r="R61" s="894"/>
      <c r="S61" s="894">
        <v>213.17771999999999</v>
      </c>
      <c r="T61" s="894"/>
      <c r="U61" s="894">
        <v>193.10003999999998</v>
      </c>
      <c r="V61" s="894">
        <v>184.93117999999998</v>
      </c>
      <c r="W61" s="894">
        <v>175.17702</v>
      </c>
    </row>
    <row r="62" spans="6:24">
      <c r="F62" s="1047"/>
      <c r="G62" s="1005">
        <v>44256</v>
      </c>
      <c r="O62" s="894">
        <v>215.53979999999999</v>
      </c>
      <c r="P62" s="894"/>
      <c r="Q62" s="894">
        <v>211.89825999999999</v>
      </c>
      <c r="R62" s="894"/>
      <c r="S62" s="894">
        <v>207.46935999999999</v>
      </c>
      <c r="T62" s="894"/>
      <c r="U62" s="894">
        <v>191.23005999999998</v>
      </c>
      <c r="V62" s="894">
        <v>184.53749999999999</v>
      </c>
      <c r="W62" s="894">
        <v>175.08516</v>
      </c>
    </row>
    <row r="63" spans="6:24">
      <c r="F63" s="1047"/>
      <c r="G63" s="1005">
        <v>44263</v>
      </c>
      <c r="O63" s="894">
        <v>222.42919999999998</v>
      </c>
      <c r="P63" s="894"/>
      <c r="Q63" s="894">
        <v>215.34295999999998</v>
      </c>
      <c r="R63" s="894"/>
      <c r="S63" s="894">
        <v>211.01247999999998</v>
      </c>
      <c r="T63" s="894"/>
      <c r="U63" s="894">
        <v>196.93841999999998</v>
      </c>
      <c r="V63" s="894">
        <v>189.55691999999999</v>
      </c>
      <c r="W63" s="894">
        <v>179.67815999999999</v>
      </c>
    </row>
    <row r="64" spans="6:24">
      <c r="F64" s="1047"/>
      <c r="G64" s="998"/>
    </row>
    <row r="65" spans="6:7">
      <c r="F65" s="1047"/>
      <c r="G65" s="998"/>
    </row>
    <row r="66" spans="6:7">
      <c r="F66" s="1047"/>
      <c r="G66" s="998"/>
    </row>
    <row r="67" spans="6:7">
      <c r="F67" s="1047"/>
    </row>
    <row r="68" spans="6:7">
      <c r="F68" s="1047"/>
    </row>
    <row r="69" spans="6:7">
      <c r="F69" s="1047"/>
    </row>
    <row r="70" spans="6:7">
      <c r="F70" s="1047"/>
    </row>
    <row r="71" spans="6:7">
      <c r="F71" s="1047"/>
    </row>
    <row r="72" spans="6:7">
      <c r="F72" s="1047"/>
    </row>
    <row r="73" spans="6:7">
      <c r="F73" s="1047"/>
    </row>
    <row r="74" spans="6:7">
      <c r="F74" s="1047"/>
    </row>
    <row r="75" spans="6:7">
      <c r="F75" s="1047"/>
    </row>
    <row r="76" spans="6:7">
      <c r="F76" s="1047"/>
    </row>
    <row r="77" spans="6:7">
      <c r="F77" s="1047"/>
    </row>
    <row r="78" spans="6:7">
      <c r="F78" s="1047"/>
    </row>
    <row r="79" spans="6:7">
      <c r="F79" s="1047"/>
    </row>
    <row r="80" spans="6:7">
      <c r="F80" s="1047"/>
    </row>
    <row r="81" spans="6:6">
      <c r="F81" s="1047"/>
    </row>
    <row r="82" spans="6:6">
      <c r="F82" s="1047"/>
    </row>
    <row r="83" spans="6:6">
      <c r="F83" s="1047"/>
    </row>
    <row r="84" spans="6:6">
      <c r="F84" s="1047"/>
    </row>
    <row r="85" spans="6:6">
      <c r="F85" s="1047"/>
    </row>
    <row r="86" spans="6:6">
      <c r="F86" s="1047"/>
    </row>
    <row r="87" spans="6:6">
      <c r="F87" s="1047"/>
    </row>
    <row r="88" spans="6:6">
      <c r="F88" s="1047"/>
    </row>
    <row r="89" spans="6:6">
      <c r="F89" s="1047"/>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34" workbookViewId="0">
      <selection activeCell="E40" sqref="E40"/>
    </sheetView>
  </sheetViews>
  <sheetFormatPr baseColWidth="10" defaultColWidth="11.08984375" defaultRowHeight="15" customHeight="1"/>
  <cols>
    <col min="1" max="1" width="4.453125" style="495" customWidth="1"/>
    <col min="2" max="2" width="8.90625" style="495" customWidth="1"/>
    <col min="3" max="5" width="10.26953125" style="495" customWidth="1"/>
    <col min="6" max="6" width="7.453125" style="495" customWidth="1"/>
    <col min="7" max="7" width="5.54296875" style="495" customWidth="1"/>
    <col min="8" max="8" width="6.36328125" style="495" customWidth="1"/>
    <col min="9" max="16384" width="11.08984375" style="495"/>
  </cols>
  <sheetData>
    <row r="1" spans="1:8" s="496" customFormat="1" ht="9.75" customHeight="1">
      <c r="A1" s="1090"/>
      <c r="B1" s="1090"/>
      <c r="C1" s="1090"/>
      <c r="D1" s="1090"/>
      <c r="E1" s="1090"/>
      <c r="F1" s="1090"/>
      <c r="G1" s="1090"/>
    </row>
    <row r="2" spans="1:8" s="496" customFormat="1" ht="15" customHeight="1">
      <c r="A2" s="1311" t="s">
        <v>401</v>
      </c>
      <c r="B2" s="1311"/>
      <c r="C2" s="1311"/>
      <c r="D2" s="1311"/>
      <c r="E2" s="1311"/>
      <c r="F2" s="1311"/>
      <c r="G2" s="1311"/>
    </row>
    <row r="3" spans="1:8" s="496" customFormat="1" ht="15" customHeight="1">
      <c r="A3" s="1090" t="s">
        <v>359</v>
      </c>
      <c r="B3" s="1090"/>
      <c r="C3" s="1090"/>
      <c r="D3" s="1090"/>
      <c r="E3" s="1090"/>
      <c r="F3" s="1090"/>
      <c r="G3" s="1090"/>
    </row>
    <row r="4" spans="1:8" s="496" customFormat="1" ht="15" customHeight="1">
      <c r="A4" s="511"/>
      <c r="B4" s="511"/>
      <c r="C4" s="511"/>
      <c r="D4" s="511"/>
      <c r="E4" s="511"/>
      <c r="F4" s="511"/>
      <c r="G4" s="511"/>
    </row>
    <row r="5" spans="1:8" s="496" customFormat="1" ht="15" customHeight="1">
      <c r="A5" s="497"/>
      <c r="B5" s="498" t="s">
        <v>18</v>
      </c>
      <c r="C5" s="498"/>
      <c r="D5" s="498"/>
      <c r="E5" s="498"/>
      <c r="F5" s="498"/>
      <c r="G5" s="499" t="s">
        <v>19</v>
      </c>
      <c r="H5" s="235"/>
    </row>
    <row r="6" spans="1:8" s="496" customFormat="1" ht="9.75" customHeight="1">
      <c r="A6" s="500"/>
      <c r="B6" s="500"/>
      <c r="C6" s="500"/>
      <c r="D6" s="500"/>
      <c r="E6" s="500"/>
      <c r="F6" s="500"/>
      <c r="G6" s="494"/>
    </row>
    <row r="7" spans="1:8" s="496" customFormat="1" ht="27" customHeight="1">
      <c r="A7" s="512" t="s">
        <v>20</v>
      </c>
      <c r="B7" s="1308" t="s">
        <v>527</v>
      </c>
      <c r="C7" s="1309"/>
      <c r="D7" s="1309"/>
      <c r="E7" s="1309"/>
      <c r="F7" s="1309"/>
      <c r="G7" s="729">
        <v>44</v>
      </c>
    </row>
    <row r="8" spans="1:8" s="496" customFormat="1" ht="15" customHeight="1">
      <c r="A8" s="512" t="s">
        <v>21</v>
      </c>
      <c r="B8" s="1303" t="s">
        <v>248</v>
      </c>
      <c r="C8" s="1303"/>
      <c r="D8" s="1303"/>
      <c r="E8" s="1303"/>
      <c r="F8" s="1303"/>
      <c r="G8" s="729">
        <v>45</v>
      </c>
    </row>
    <row r="9" spans="1:8" s="496" customFormat="1" ht="15" customHeight="1">
      <c r="A9" s="512" t="s">
        <v>22</v>
      </c>
      <c r="B9" s="1310" t="s">
        <v>249</v>
      </c>
      <c r="C9" s="1310"/>
      <c r="D9" s="1310"/>
      <c r="E9" s="1310"/>
      <c r="F9" s="1310"/>
      <c r="G9" s="729">
        <v>46</v>
      </c>
      <c r="H9" s="683"/>
    </row>
    <row r="10" spans="1:8" s="496" customFormat="1" ht="12.75">
      <c r="A10" s="512" t="s">
        <v>46</v>
      </c>
      <c r="B10" s="1303" t="s">
        <v>250</v>
      </c>
      <c r="C10" s="1303"/>
      <c r="D10" s="1303"/>
      <c r="E10" s="1303"/>
      <c r="F10" s="1303"/>
      <c r="G10" s="729">
        <v>47</v>
      </c>
      <c r="H10" s="683"/>
    </row>
    <row r="11" spans="1:8" s="496" customFormat="1" ht="27" customHeight="1">
      <c r="A11" s="512" t="s">
        <v>23</v>
      </c>
      <c r="B11" s="1303" t="s">
        <v>251</v>
      </c>
      <c r="C11" s="1303"/>
      <c r="D11" s="1303"/>
      <c r="E11" s="1303"/>
      <c r="F11" s="1303"/>
      <c r="G11" s="729">
        <v>48</v>
      </c>
      <c r="H11" s="683"/>
    </row>
    <row r="12" spans="1:8" s="496" customFormat="1" ht="15" customHeight="1">
      <c r="A12" s="512" t="s">
        <v>24</v>
      </c>
      <c r="B12" s="1303" t="s">
        <v>252</v>
      </c>
      <c r="C12" s="1303"/>
      <c r="D12" s="1303"/>
      <c r="E12" s="1303"/>
      <c r="F12" s="1303"/>
      <c r="G12" s="729">
        <v>49</v>
      </c>
      <c r="H12" s="683"/>
    </row>
    <row r="13" spans="1:8" s="496" customFormat="1" ht="15" customHeight="1">
      <c r="A13" s="512" t="s">
        <v>25</v>
      </c>
      <c r="B13" s="1310" t="s">
        <v>470</v>
      </c>
      <c r="C13" s="1310"/>
      <c r="D13" s="1310"/>
      <c r="E13" s="1310"/>
      <c r="F13" s="1310"/>
      <c r="G13" s="729">
        <v>50</v>
      </c>
      <c r="H13" s="683"/>
    </row>
    <row r="14" spans="1:8" s="496" customFormat="1" ht="15" customHeight="1">
      <c r="A14" s="512" t="s">
        <v>26</v>
      </c>
      <c r="B14" s="1304" t="s">
        <v>253</v>
      </c>
      <c r="C14" s="1304"/>
      <c r="D14" s="1304"/>
      <c r="E14" s="1304"/>
      <c r="F14" s="1304"/>
      <c r="G14" s="729">
        <v>51</v>
      </c>
      <c r="H14" s="683"/>
    </row>
    <row r="15" spans="1:8" s="496" customFormat="1" ht="15" customHeight="1">
      <c r="A15" s="512" t="s">
        <v>27</v>
      </c>
      <c r="B15" s="1304" t="s">
        <v>254</v>
      </c>
      <c r="C15" s="1304"/>
      <c r="D15" s="1304"/>
      <c r="E15" s="1304"/>
      <c r="F15" s="1304"/>
      <c r="G15" s="729">
        <v>52</v>
      </c>
      <c r="H15" s="683"/>
    </row>
    <row r="16" spans="1:8" s="496" customFormat="1" ht="15" customHeight="1">
      <c r="A16" s="512" t="s">
        <v>39</v>
      </c>
      <c r="B16" s="1304" t="s">
        <v>255</v>
      </c>
      <c r="C16" s="1304"/>
      <c r="D16" s="1304"/>
      <c r="E16" s="1304"/>
      <c r="F16" s="1304"/>
      <c r="G16" s="729">
        <v>53</v>
      </c>
      <c r="H16" s="683"/>
    </row>
    <row r="17" spans="1:8" s="496" customFormat="1" ht="15" customHeight="1">
      <c r="A17" s="512" t="s">
        <v>40</v>
      </c>
      <c r="B17" s="1303" t="s">
        <v>256</v>
      </c>
      <c r="C17" s="1303"/>
      <c r="D17" s="1303"/>
      <c r="E17" s="1303"/>
      <c r="F17" s="1303"/>
      <c r="G17" s="729">
        <v>54</v>
      </c>
      <c r="H17" s="683"/>
    </row>
    <row r="18" spans="1:8" s="496" customFormat="1" ht="15" customHeight="1">
      <c r="A18" s="512" t="s">
        <v>60</v>
      </c>
      <c r="B18" s="1303" t="s">
        <v>83</v>
      </c>
      <c r="C18" s="1303"/>
      <c r="D18" s="1303"/>
      <c r="E18" s="1303"/>
      <c r="F18" s="1303"/>
      <c r="G18" s="729">
        <v>55</v>
      </c>
      <c r="H18" s="683"/>
    </row>
    <row r="19" spans="1:8" s="496" customFormat="1" ht="15" customHeight="1">
      <c r="A19" s="512" t="s">
        <v>81</v>
      </c>
      <c r="B19" s="1303" t="s">
        <v>103</v>
      </c>
      <c r="C19" s="1303"/>
      <c r="D19" s="1303"/>
      <c r="E19" s="1303"/>
      <c r="F19" s="1303"/>
      <c r="G19" s="729">
        <v>56</v>
      </c>
      <c r="H19" s="683"/>
    </row>
    <row r="20" spans="1:8" s="496" customFormat="1" ht="15" customHeight="1">
      <c r="A20" s="512" t="s">
        <v>82</v>
      </c>
      <c r="B20" s="1303" t="s">
        <v>257</v>
      </c>
      <c r="C20" s="1303"/>
      <c r="D20" s="1303"/>
      <c r="E20" s="1303"/>
      <c r="F20" s="1303"/>
      <c r="G20" s="729">
        <v>57</v>
      </c>
      <c r="H20" s="683"/>
    </row>
    <row r="21" spans="1:8" s="496" customFormat="1" ht="30.75" customHeight="1">
      <c r="A21" s="509" t="s">
        <v>349</v>
      </c>
      <c r="B21" s="1303" t="s">
        <v>258</v>
      </c>
      <c r="C21" s="1303"/>
      <c r="D21" s="1303"/>
      <c r="E21" s="1303"/>
      <c r="F21" s="1303"/>
      <c r="G21" s="729">
        <v>59</v>
      </c>
      <c r="H21" s="683"/>
    </row>
    <row r="22" spans="1:8" s="496" customFormat="1" ht="15" customHeight="1">
      <c r="B22" s="500"/>
      <c r="C22" s="500"/>
      <c r="D22" s="500"/>
      <c r="E22" s="500"/>
      <c r="F22" s="500"/>
      <c r="G22" s="730"/>
    </row>
    <row r="23" spans="1:8" s="496" customFormat="1" ht="15" customHeight="1">
      <c r="A23" s="497" t="s">
        <v>28</v>
      </c>
      <c r="B23" s="498" t="s">
        <v>18</v>
      </c>
      <c r="C23" s="498"/>
      <c r="D23" s="498"/>
      <c r="E23" s="498"/>
      <c r="F23" s="498"/>
      <c r="G23" s="499" t="s">
        <v>19</v>
      </c>
    </row>
    <row r="24" spans="1:8" s="496" customFormat="1" ht="12" customHeight="1">
      <c r="B24" s="500"/>
      <c r="C24" s="500"/>
      <c r="D24" s="500"/>
      <c r="E24" s="500"/>
      <c r="F24" s="500"/>
      <c r="G24" s="494"/>
    </row>
    <row r="25" spans="1:8" s="496" customFormat="1" ht="15.75" customHeight="1">
      <c r="A25" s="512" t="s">
        <v>20</v>
      </c>
      <c r="B25" s="1250" t="s">
        <v>259</v>
      </c>
      <c r="C25" s="1250"/>
      <c r="D25" s="1250"/>
      <c r="E25" s="1250"/>
      <c r="F25" s="1250"/>
      <c r="G25" s="731">
        <v>44</v>
      </c>
    </row>
    <row r="26" spans="1:8" s="496" customFormat="1" ht="15.75" customHeight="1">
      <c r="A26" s="512" t="s">
        <v>21</v>
      </c>
      <c r="B26" s="1307" t="s">
        <v>260</v>
      </c>
      <c r="C26" s="1307"/>
      <c r="D26" s="1307"/>
      <c r="E26" s="1307"/>
      <c r="F26" s="1307"/>
      <c r="G26" s="731">
        <v>45</v>
      </c>
    </row>
    <row r="27" spans="1:8" s="496" customFormat="1" ht="30.75" customHeight="1">
      <c r="A27" s="512" t="s">
        <v>22</v>
      </c>
      <c r="B27" s="1303" t="s">
        <v>261</v>
      </c>
      <c r="C27" s="1303"/>
      <c r="D27" s="1303"/>
      <c r="E27" s="1303"/>
      <c r="F27" s="1303"/>
      <c r="G27" s="731">
        <v>47</v>
      </c>
    </row>
    <row r="28" spans="1:8" s="496" customFormat="1" ht="18" customHeight="1">
      <c r="A28" s="503" t="s">
        <v>46</v>
      </c>
      <c r="B28" s="1312" t="s">
        <v>471</v>
      </c>
      <c r="C28" s="1312"/>
      <c r="D28" s="1312"/>
      <c r="E28" s="1312"/>
      <c r="F28" s="1312"/>
      <c r="G28" s="731">
        <v>50</v>
      </c>
    </row>
    <row r="29" spans="1:8" s="496" customFormat="1" ht="18.75" customHeight="1">
      <c r="A29" s="503" t="s">
        <v>23</v>
      </c>
      <c r="B29" s="1250" t="s">
        <v>262</v>
      </c>
      <c r="C29" s="1255"/>
      <c r="D29" s="1255"/>
      <c r="E29" s="1255"/>
      <c r="F29" s="1255"/>
      <c r="G29" s="731">
        <v>51</v>
      </c>
    </row>
    <row r="30" spans="1:8" s="496" customFormat="1" ht="17.25" customHeight="1">
      <c r="A30" s="503" t="s">
        <v>24</v>
      </c>
      <c r="B30" s="1250" t="s">
        <v>263</v>
      </c>
      <c r="C30" s="1255"/>
      <c r="D30" s="1255"/>
      <c r="E30" s="1255"/>
      <c r="F30" s="1255"/>
      <c r="G30" s="731">
        <v>52</v>
      </c>
    </row>
    <row r="31" spans="1:8" s="496" customFormat="1" ht="15" customHeight="1">
      <c r="A31" s="503" t="s">
        <v>25</v>
      </c>
      <c r="B31" s="1305" t="s">
        <v>264</v>
      </c>
      <c r="C31" s="1306"/>
      <c r="D31" s="1306"/>
      <c r="E31" s="1306"/>
      <c r="F31" s="1306"/>
      <c r="G31" s="731">
        <v>53</v>
      </c>
    </row>
    <row r="32" spans="1:8" s="496" customFormat="1" ht="15" customHeight="1">
      <c r="A32" s="503" t="s">
        <v>26</v>
      </c>
      <c r="B32" s="1307" t="s">
        <v>265</v>
      </c>
      <c r="C32" s="1307"/>
      <c r="D32" s="1307"/>
      <c r="E32" s="1307"/>
      <c r="F32" s="1307"/>
      <c r="G32" s="731">
        <v>54</v>
      </c>
    </row>
    <row r="33" spans="1:11" s="496" customFormat="1" ht="15" customHeight="1">
      <c r="A33" s="503" t="s">
        <v>27</v>
      </c>
      <c r="B33" s="1307" t="s">
        <v>266</v>
      </c>
      <c r="C33" s="1307"/>
      <c r="D33" s="1307"/>
      <c r="E33" s="1307"/>
      <c r="F33" s="1307"/>
      <c r="G33" s="731">
        <v>55</v>
      </c>
    </row>
    <row r="34" spans="1:11" s="496" customFormat="1" ht="19.5" customHeight="1">
      <c r="A34" s="503" t="s">
        <v>39</v>
      </c>
      <c r="B34" s="1307" t="s">
        <v>267</v>
      </c>
      <c r="C34" s="1307"/>
      <c r="D34" s="1307"/>
      <c r="E34" s="1307"/>
      <c r="F34" s="1307"/>
      <c r="G34" s="731">
        <v>57</v>
      </c>
    </row>
    <row r="35" spans="1:11" s="496" customFormat="1" ht="16.5" customHeight="1">
      <c r="A35" s="496" t="s">
        <v>40</v>
      </c>
      <c r="B35" s="1305" t="s">
        <v>268</v>
      </c>
      <c r="C35" s="1306"/>
      <c r="D35" s="1306"/>
      <c r="E35" s="1306"/>
      <c r="F35" s="1306"/>
      <c r="G35" s="731">
        <v>58</v>
      </c>
    </row>
    <row r="36" spans="1:11" s="496" customFormat="1" ht="30.75" customHeight="1">
      <c r="A36" s="496" t="s">
        <v>60</v>
      </c>
      <c r="B36" s="1305" t="s">
        <v>269</v>
      </c>
      <c r="C36" s="1305"/>
      <c r="D36" s="1305"/>
      <c r="E36" s="1305"/>
      <c r="F36" s="1305"/>
      <c r="G36" s="731">
        <v>60</v>
      </c>
    </row>
    <row r="37" spans="1:11" s="496" customFormat="1" ht="37.5" customHeight="1">
      <c r="A37" s="938" t="s">
        <v>81</v>
      </c>
      <c r="B37" s="1313" t="s">
        <v>735</v>
      </c>
      <c r="C37" s="1305"/>
      <c r="D37" s="1305"/>
      <c r="E37" s="1305"/>
      <c r="F37" s="1305"/>
      <c r="G37" s="731">
        <v>61</v>
      </c>
      <c r="K37" s="1025"/>
    </row>
    <row r="38" spans="1:11" s="496" customFormat="1" ht="12" customHeight="1">
      <c r="A38" s="504"/>
      <c r="C38" s="506"/>
      <c r="D38" s="506"/>
      <c r="E38" s="506"/>
      <c r="F38" s="506"/>
      <c r="G38" s="732"/>
      <c r="K38" s="1025"/>
    </row>
    <row r="39" spans="1:11" s="496" customFormat="1" ht="12" customHeight="1">
      <c r="B39" s="236"/>
      <c r="C39" s="506"/>
      <c r="D39" s="506"/>
      <c r="E39" s="506"/>
      <c r="F39" s="506"/>
      <c r="G39" s="732"/>
      <c r="K39" s="1025"/>
    </row>
    <row r="40" spans="1:11" ht="15" customHeight="1">
      <c r="B40" s="496"/>
      <c r="C40" s="496"/>
      <c r="D40" s="496"/>
      <c r="E40" s="496"/>
      <c r="F40" s="496"/>
      <c r="G40" s="733"/>
      <c r="H40" s="496"/>
    </row>
    <row r="41" spans="1:11" ht="15" customHeight="1">
      <c r="A41" s="509"/>
    </row>
    <row r="42" spans="1:11" ht="15" customHeight="1">
      <c r="B42" s="1252"/>
      <c r="C42" s="1252"/>
      <c r="D42" s="1252"/>
      <c r="E42" s="1252"/>
      <c r="F42" s="1252"/>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3"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pageSetUpPr fitToPage="1"/>
  </sheetPr>
  <dimension ref="B1:BC56"/>
  <sheetViews>
    <sheetView topLeftCell="A4" zoomScaleNormal="100" workbookViewId="0">
      <selection activeCell="T22" sqref="T22"/>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55" s="23" customFormat="1" ht="12.75">
      <c r="B1" s="1098" t="s">
        <v>0</v>
      </c>
      <c r="C1" s="1098"/>
      <c r="D1" s="1098"/>
      <c r="E1" s="1098"/>
      <c r="F1" s="1098"/>
      <c r="G1" s="1098"/>
      <c r="I1" s="1320" t="s">
        <v>270</v>
      </c>
      <c r="J1" s="1315"/>
      <c r="K1" s="1315"/>
      <c r="L1" s="1315"/>
      <c r="M1" s="1315"/>
      <c r="N1" s="1315"/>
      <c r="O1" s="1315"/>
      <c r="P1" s="1315"/>
      <c r="Q1" s="1315"/>
      <c r="R1" s="1315"/>
      <c r="S1" s="1315"/>
    </row>
    <row r="2" spans="2:55" s="23" customFormat="1" ht="12.75">
      <c r="B2" s="28"/>
      <c r="C2" s="28"/>
      <c r="D2" s="28"/>
      <c r="E2" s="28"/>
      <c r="F2" s="28"/>
      <c r="G2" s="28"/>
    </row>
    <row r="3" spans="2:55" s="23" customFormat="1" ht="13.5" customHeight="1">
      <c r="B3" s="1184" t="s">
        <v>585</v>
      </c>
      <c r="C3" s="1184"/>
      <c r="D3" s="1184"/>
      <c r="E3" s="1184"/>
      <c r="F3" s="1184"/>
      <c r="G3" s="1184"/>
      <c r="I3" s="1314" t="s">
        <v>271</v>
      </c>
      <c r="J3" s="1315"/>
      <c r="K3" s="1315"/>
      <c r="L3" s="1315"/>
      <c r="M3" s="1315"/>
      <c r="N3" s="1315"/>
      <c r="O3" s="1315"/>
      <c r="P3" s="1315"/>
      <c r="Q3" s="1315"/>
      <c r="R3" s="1315"/>
      <c r="S3" s="1315"/>
    </row>
    <row r="4" spans="2:55" s="23" customFormat="1" ht="12.75">
      <c r="B4" s="1104" t="s">
        <v>33</v>
      </c>
      <c r="C4" s="1104"/>
      <c r="D4" s="1104"/>
      <c r="E4" s="1104"/>
      <c r="F4" s="1104"/>
      <c r="G4" s="1104"/>
    </row>
    <row r="5" spans="2:55" s="35" customFormat="1" ht="30" customHeight="1">
      <c r="B5" s="368" t="s">
        <v>34</v>
      </c>
      <c r="C5" s="665" t="s">
        <v>194</v>
      </c>
      <c r="D5" s="665" t="s">
        <v>6</v>
      </c>
      <c r="E5" s="665" t="s">
        <v>13</v>
      </c>
      <c r="F5" s="665" t="s">
        <v>110</v>
      </c>
      <c r="G5" s="665" t="s">
        <v>195</v>
      </c>
      <c r="H5" s="23"/>
      <c r="I5" s="1314" t="s">
        <v>272</v>
      </c>
      <c r="J5" s="1315"/>
      <c r="K5" s="1315"/>
      <c r="L5" s="1315"/>
      <c r="M5" s="1315"/>
      <c r="N5" s="1315"/>
      <c r="O5" s="1315"/>
      <c r="P5" s="1315"/>
      <c r="Q5" s="1315"/>
      <c r="R5" s="1315"/>
      <c r="S5" s="1315"/>
    </row>
    <row r="6" spans="2:55" s="35" customFormat="1" ht="15.75" customHeight="1">
      <c r="B6" s="43">
        <v>43952</v>
      </c>
      <c r="C6" s="666">
        <v>180.35</v>
      </c>
      <c r="D6" s="666">
        <v>501.96</v>
      </c>
      <c r="E6" s="666">
        <v>498.12</v>
      </c>
      <c r="F6" s="666">
        <v>45.22</v>
      </c>
      <c r="G6" s="666">
        <v>184.18</v>
      </c>
      <c r="H6" s="369"/>
      <c r="I6" s="132"/>
    </row>
    <row r="7" spans="2:55" s="35" customFormat="1" ht="15.75" customHeight="1">
      <c r="B7" s="43">
        <v>43983</v>
      </c>
      <c r="C7" s="666">
        <v>181.26</v>
      </c>
      <c r="D7" s="666">
        <v>502.09</v>
      </c>
      <c r="E7" s="666">
        <v>497.99</v>
      </c>
      <c r="F7" s="666">
        <v>44.9</v>
      </c>
      <c r="G7" s="666">
        <v>185.35</v>
      </c>
      <c r="H7" s="369"/>
      <c r="I7" s="1314" t="s">
        <v>273</v>
      </c>
      <c r="J7" s="1315"/>
      <c r="K7" s="1315"/>
      <c r="L7" s="1315"/>
      <c r="M7" s="1315"/>
      <c r="N7" s="1315"/>
      <c r="O7" s="1315"/>
      <c r="P7" s="1315"/>
      <c r="Q7" s="1315"/>
      <c r="R7" s="1315"/>
      <c r="S7" s="1315"/>
    </row>
    <row r="8" spans="2:55" s="35" customFormat="1" ht="15.75" customHeight="1" thickBot="1">
      <c r="B8" s="43">
        <v>44013</v>
      </c>
      <c r="C8" s="666">
        <v>181.67</v>
      </c>
      <c r="D8" s="666">
        <v>502.63</v>
      </c>
      <c r="E8" s="666">
        <v>498.47</v>
      </c>
      <c r="F8" s="666">
        <v>44.89</v>
      </c>
      <c r="G8" s="666">
        <v>185.83</v>
      </c>
      <c r="H8" s="369"/>
      <c r="I8" s="370"/>
      <c r="J8" s="370"/>
      <c r="K8" s="370"/>
      <c r="L8" s="370"/>
      <c r="M8" s="370"/>
      <c r="N8" s="370"/>
      <c r="O8" s="370"/>
      <c r="P8" s="370"/>
      <c r="Q8" s="370"/>
      <c r="R8" s="370"/>
      <c r="S8" s="370"/>
    </row>
    <row r="9" spans="2:55" s="35" customFormat="1" ht="15.75" customHeight="1" thickTop="1" thickBot="1">
      <c r="B9" s="43">
        <v>44044</v>
      </c>
      <c r="C9" s="666">
        <v>181.67</v>
      </c>
      <c r="D9" s="666">
        <v>500.05</v>
      </c>
      <c r="E9" s="666">
        <v>496.53</v>
      </c>
      <c r="F9" s="666">
        <v>44.26</v>
      </c>
      <c r="G9" s="666">
        <v>185.19</v>
      </c>
      <c r="H9" s="369"/>
      <c r="I9" s="1316" t="s">
        <v>274</v>
      </c>
      <c r="J9" s="1317"/>
      <c r="K9" s="371" t="s">
        <v>275</v>
      </c>
      <c r="L9" s="371" t="s">
        <v>276</v>
      </c>
      <c r="M9" s="371" t="s">
        <v>277</v>
      </c>
      <c r="N9" s="371" t="s">
        <v>278</v>
      </c>
      <c r="O9" s="371" t="s">
        <v>279</v>
      </c>
      <c r="P9" s="1318" t="s">
        <v>280</v>
      </c>
      <c r="Q9" s="1319"/>
      <c r="R9" s="370"/>
      <c r="S9" s="370"/>
    </row>
    <row r="10" spans="2:55" s="35" customFormat="1" ht="15.75" customHeight="1" thickTop="1">
      <c r="B10" s="43">
        <v>44075</v>
      </c>
      <c r="C10" s="666">
        <v>181.68</v>
      </c>
      <c r="D10" s="666">
        <v>499.58</v>
      </c>
      <c r="E10" s="666">
        <v>496.42</v>
      </c>
      <c r="F10" s="666">
        <v>44.5</v>
      </c>
      <c r="G10" s="666">
        <v>184.83</v>
      </c>
      <c r="H10" s="369"/>
      <c r="I10" s="372"/>
      <c r="J10" s="373"/>
      <c r="K10" s="374"/>
      <c r="L10" s="374"/>
      <c r="M10" s="374"/>
      <c r="N10" s="374"/>
      <c r="O10" s="374"/>
      <c r="P10" s="1321"/>
      <c r="Q10" s="1322"/>
      <c r="R10" s="370"/>
      <c r="S10" s="370"/>
      <c r="T10" s="375"/>
      <c r="U10" s="375"/>
      <c r="V10" s="375"/>
      <c r="W10" s="375"/>
      <c r="X10" s="375"/>
      <c r="Y10" s="376"/>
      <c r="Z10" s="212"/>
    </row>
    <row r="11" spans="2:55" s="35" customFormat="1" ht="15.75" customHeight="1">
      <c r="B11" s="43">
        <v>44105</v>
      </c>
      <c r="C11" s="666">
        <v>177.11</v>
      </c>
      <c r="D11" s="666">
        <v>501.47</v>
      </c>
      <c r="E11" s="666">
        <v>499.44</v>
      </c>
      <c r="F11" s="666">
        <v>44.32</v>
      </c>
      <c r="G11" s="666">
        <v>179.15</v>
      </c>
      <c r="H11" s="369"/>
      <c r="I11" s="1323" t="s">
        <v>281</v>
      </c>
      <c r="J11" s="377" t="s">
        <v>282</v>
      </c>
      <c r="K11" s="378">
        <v>103.46</v>
      </c>
      <c r="L11" s="378">
        <v>469.5</v>
      </c>
      <c r="M11" s="378">
        <v>39.659999999999997</v>
      </c>
      <c r="N11" s="378">
        <v>483.68</v>
      </c>
      <c r="O11" s="378">
        <v>41.62</v>
      </c>
      <c r="P11" s="1324">
        <v>89.28</v>
      </c>
      <c r="Q11" s="1315"/>
      <c r="R11" s="370"/>
      <c r="S11" s="370"/>
      <c r="T11" s="379"/>
      <c r="U11" s="914"/>
      <c r="V11" s="379"/>
      <c r="W11" s="379"/>
      <c r="X11" s="379"/>
      <c r="Y11" s="380"/>
      <c r="Z11" s="381"/>
    </row>
    <row r="12" spans="2:55" s="35" customFormat="1" ht="15.75" customHeight="1">
      <c r="B12" s="43">
        <v>44136</v>
      </c>
      <c r="C12" s="666">
        <v>177.91</v>
      </c>
      <c r="D12" s="666">
        <v>501.11</v>
      </c>
      <c r="E12" s="666">
        <v>499.24</v>
      </c>
      <c r="F12" s="666">
        <v>44.3</v>
      </c>
      <c r="G12" s="666">
        <v>179.78</v>
      </c>
      <c r="H12" s="369"/>
      <c r="I12" s="1315"/>
      <c r="J12" s="377" t="s">
        <v>283</v>
      </c>
      <c r="K12" s="378">
        <v>103.65</v>
      </c>
      <c r="L12" s="378">
        <v>471.09</v>
      </c>
      <c r="M12" s="378">
        <v>40.020000000000003</v>
      </c>
      <c r="N12" s="378">
        <v>484.23</v>
      </c>
      <c r="O12" s="378">
        <v>41.66</v>
      </c>
      <c r="P12" s="1324">
        <v>90.51</v>
      </c>
      <c r="Q12" s="1315"/>
      <c r="R12" s="370"/>
      <c r="S12" s="370"/>
      <c r="T12" s="379"/>
      <c r="U12" s="379"/>
      <c r="V12" s="379"/>
      <c r="W12" s="379"/>
      <c r="X12" s="379"/>
      <c r="Y12" s="380"/>
      <c r="Z12" s="381"/>
    </row>
    <row r="13" spans="2:55" s="35" customFormat="1" ht="15.75" customHeight="1">
      <c r="B13" s="43">
        <v>44166</v>
      </c>
      <c r="C13" s="666">
        <v>178.22</v>
      </c>
      <c r="D13" s="671">
        <v>501.2</v>
      </c>
      <c r="E13" s="671">
        <v>500.44</v>
      </c>
      <c r="F13" s="666">
        <v>45.29</v>
      </c>
      <c r="G13" s="666">
        <v>178.98</v>
      </c>
      <c r="H13" s="369"/>
      <c r="I13" s="1323" t="s">
        <v>284</v>
      </c>
      <c r="J13" s="377" t="s">
        <v>282</v>
      </c>
      <c r="K13" s="378">
        <v>1.55</v>
      </c>
      <c r="L13" s="378">
        <v>6.11</v>
      </c>
      <c r="M13" s="378">
        <v>0.76</v>
      </c>
      <c r="N13" s="378">
        <v>3.85</v>
      </c>
      <c r="O13" s="378">
        <v>3.24</v>
      </c>
      <c r="P13" s="1324">
        <v>1.33</v>
      </c>
      <c r="Q13" s="1315"/>
      <c r="R13" s="370"/>
      <c r="S13" s="370"/>
      <c r="T13" s="132"/>
      <c r="U13" s="132"/>
      <c r="V13" s="132"/>
      <c r="W13" s="132"/>
      <c r="X13" s="132"/>
      <c r="Y13" s="132"/>
      <c r="Z13" s="132"/>
    </row>
    <row r="14" spans="2:55" s="35" customFormat="1" ht="15.75" customHeight="1">
      <c r="B14" s="43">
        <v>44197</v>
      </c>
      <c r="C14" s="939">
        <v>178.31</v>
      </c>
      <c r="D14" s="939">
        <v>503.17</v>
      </c>
      <c r="E14" s="939">
        <v>501.97</v>
      </c>
      <c r="F14" s="939">
        <v>45.38</v>
      </c>
      <c r="G14" s="939">
        <v>179.5</v>
      </c>
      <c r="H14" s="435"/>
      <c r="I14" s="1315"/>
      <c r="J14" s="377" t="s">
        <v>283</v>
      </c>
      <c r="K14" s="378">
        <v>1.55</v>
      </c>
      <c r="L14" s="378">
        <v>6.11</v>
      </c>
      <c r="M14" s="378">
        <v>0.76</v>
      </c>
      <c r="N14" s="378">
        <v>3.85</v>
      </c>
      <c r="O14" s="378">
        <v>3.18</v>
      </c>
      <c r="P14" s="1324">
        <v>1.39</v>
      </c>
      <c r="Q14" s="1315"/>
      <c r="R14" s="370"/>
      <c r="S14" s="370"/>
      <c r="T14" s="379"/>
      <c r="U14" s="379"/>
      <c r="V14" s="379"/>
      <c r="W14" s="379"/>
      <c r="X14" s="379"/>
      <c r="Y14" s="379"/>
      <c r="Z14" s="379"/>
      <c r="AA14" s="379"/>
      <c r="AB14" s="379"/>
      <c r="AC14" s="379"/>
    </row>
    <row r="15" spans="2:55" s="382" customFormat="1" ht="15.75" customHeight="1">
      <c r="B15" s="43">
        <v>44228</v>
      </c>
      <c r="C15" s="672">
        <v>178.28</v>
      </c>
      <c r="D15" s="672">
        <v>504.02</v>
      </c>
      <c r="E15" s="672">
        <v>504.21</v>
      </c>
      <c r="F15" s="672">
        <v>46.25</v>
      </c>
      <c r="G15" s="672">
        <v>178.1</v>
      </c>
      <c r="H15" s="132"/>
      <c r="I15" s="1323" t="s">
        <v>285</v>
      </c>
      <c r="J15" s="377" t="s">
        <v>282</v>
      </c>
      <c r="K15" s="378">
        <v>101.91</v>
      </c>
      <c r="L15" s="378">
        <v>463.39</v>
      </c>
      <c r="M15" s="378">
        <v>38.9</v>
      </c>
      <c r="N15" s="378">
        <v>479.82</v>
      </c>
      <c r="O15" s="378">
        <v>38.380000000000003</v>
      </c>
      <c r="P15" s="1324">
        <v>87.96</v>
      </c>
      <c r="Q15" s="1315"/>
      <c r="R15" s="370"/>
      <c r="S15" s="370"/>
      <c r="T15" s="379"/>
      <c r="U15" s="379"/>
      <c r="V15" s="379"/>
      <c r="W15" s="379"/>
      <c r="X15" s="379"/>
      <c r="Y15" s="379"/>
      <c r="Z15" s="379"/>
      <c r="AA15" s="379"/>
      <c r="AB15" s="379"/>
      <c r="AC15" s="379"/>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row>
    <row r="16" spans="2:55" s="382" customFormat="1" ht="15.75" customHeight="1">
      <c r="B16" s="43">
        <v>44256</v>
      </c>
      <c r="C16" s="672">
        <v>178.12</v>
      </c>
      <c r="D16" s="672">
        <v>504.41</v>
      </c>
      <c r="E16" s="672">
        <v>504.69</v>
      </c>
      <c r="F16" s="672">
        <v>46.25</v>
      </c>
      <c r="G16" s="672">
        <v>178.83</v>
      </c>
      <c r="H16" s="618"/>
      <c r="I16" s="1323"/>
      <c r="J16" s="377"/>
      <c r="K16" s="378"/>
      <c r="L16" s="378"/>
      <c r="M16" s="378"/>
      <c r="N16" s="378"/>
      <c r="O16" s="378"/>
      <c r="P16" s="378"/>
      <c r="Q16" s="383"/>
      <c r="R16" s="370"/>
      <c r="S16" s="370"/>
      <c r="T16" s="379"/>
      <c r="U16" s="379"/>
      <c r="V16" s="379"/>
      <c r="W16" s="379"/>
      <c r="X16" s="379"/>
      <c r="Y16" s="379"/>
      <c r="Z16" s="379"/>
      <c r="AA16" s="379"/>
      <c r="AB16" s="379"/>
      <c r="AC16" s="379"/>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row>
    <row r="17" spans="2:55" s="382" customFormat="1" ht="15.75" customHeight="1">
      <c r="B17" s="43">
        <v>44287</v>
      </c>
      <c r="C17" s="802"/>
      <c r="D17" s="802"/>
      <c r="E17" s="802"/>
      <c r="F17" s="802"/>
      <c r="G17" s="802"/>
      <c r="H17" s="369"/>
      <c r="I17" s="1315"/>
      <c r="J17" s="377" t="s">
        <v>283</v>
      </c>
      <c r="K17" s="378">
        <v>102.1</v>
      </c>
      <c r="L17" s="378">
        <v>464.98</v>
      </c>
      <c r="M17" s="378">
        <v>39.26</v>
      </c>
      <c r="N17" s="378">
        <v>480.38</v>
      </c>
      <c r="O17" s="378">
        <v>38.479999999999997</v>
      </c>
      <c r="P17" s="1324">
        <v>89.12</v>
      </c>
      <c r="Q17" s="1315"/>
      <c r="R17" s="370"/>
      <c r="S17" s="370"/>
      <c r="T17" s="379"/>
      <c r="U17" s="379"/>
      <c r="V17" s="379"/>
      <c r="W17" s="379"/>
      <c r="X17" s="379"/>
      <c r="Y17" s="379"/>
      <c r="Z17" s="379"/>
      <c r="AA17" s="379"/>
      <c r="AB17" s="379"/>
      <c r="AC17" s="379"/>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row>
    <row r="18" spans="2:55" s="35" customFormat="1" ht="18.75" customHeight="1">
      <c r="B18" s="1103" t="s">
        <v>168</v>
      </c>
      <c r="C18" s="1103"/>
      <c r="D18" s="1103"/>
      <c r="E18" s="1103"/>
      <c r="F18" s="1103"/>
      <c r="G18" s="1103"/>
      <c r="H18" s="132"/>
      <c r="I18" s="383"/>
      <c r="J18" s="377" t="s">
        <v>283</v>
      </c>
      <c r="K18" s="378">
        <v>30.25</v>
      </c>
      <c r="L18" s="378">
        <v>154</v>
      </c>
      <c r="M18" s="378">
        <v>0.72</v>
      </c>
      <c r="N18" s="378">
        <v>134.80000000000001</v>
      </c>
      <c r="O18" s="378">
        <v>30.2</v>
      </c>
      <c r="P18" s="1324">
        <v>19.97</v>
      </c>
      <c r="Q18" s="1315"/>
      <c r="R18" s="132"/>
      <c r="S18" s="132"/>
      <c r="T18" s="379"/>
      <c r="U18" s="379"/>
      <c r="V18" s="379"/>
      <c r="W18" s="379"/>
      <c r="X18" s="379"/>
      <c r="Y18" s="379"/>
      <c r="Z18" s="379"/>
      <c r="AA18" s="379"/>
      <c r="AB18" s="379"/>
      <c r="AC18" s="379"/>
    </row>
    <row r="19" spans="2:55" ht="16.5" customHeight="1">
      <c r="B19" s="14"/>
      <c r="C19" s="384"/>
      <c r="D19" s="384"/>
      <c r="E19" s="384"/>
      <c r="F19" s="384"/>
      <c r="G19" s="384"/>
      <c r="I19" s="1323" t="s">
        <v>286</v>
      </c>
      <c r="J19" s="377" t="s">
        <v>282</v>
      </c>
      <c r="K19" s="378">
        <v>17.690000000000001</v>
      </c>
      <c r="L19" s="378">
        <v>100</v>
      </c>
      <c r="M19" s="378">
        <v>0</v>
      </c>
      <c r="N19" s="378">
        <v>98</v>
      </c>
      <c r="O19" s="378">
        <v>8.5</v>
      </c>
      <c r="P19" s="1324">
        <v>11.19</v>
      </c>
      <c r="Q19" s="1315"/>
      <c r="R19" s="142"/>
      <c r="S19" s="142"/>
      <c r="T19" s="142"/>
      <c r="U19" s="142"/>
      <c r="V19" s="142"/>
      <c r="W19" s="142"/>
      <c r="X19" s="142"/>
      <c r="Y19" s="142"/>
      <c r="Z19" s="142"/>
    </row>
    <row r="20" spans="2:55" ht="12.75">
      <c r="I20" s="1315"/>
      <c r="J20" s="377" t="s">
        <v>283</v>
      </c>
      <c r="K20" s="378">
        <v>17.77</v>
      </c>
      <c r="L20" s="378">
        <v>103</v>
      </c>
      <c r="M20" s="378">
        <v>0</v>
      </c>
      <c r="N20" s="378">
        <v>98.9</v>
      </c>
      <c r="O20" s="378">
        <v>8.6</v>
      </c>
      <c r="P20" s="1324">
        <v>13.27</v>
      </c>
      <c r="Q20" s="1315"/>
    </row>
    <row r="21" spans="2:55" ht="12.75">
      <c r="I21" s="1323" t="s">
        <v>287</v>
      </c>
      <c r="J21" s="377" t="s">
        <v>282</v>
      </c>
      <c r="K21" s="378">
        <v>1.56</v>
      </c>
      <c r="L21" s="378">
        <v>6.9</v>
      </c>
      <c r="M21" s="378">
        <v>0.02</v>
      </c>
      <c r="N21" s="378">
        <v>2.8</v>
      </c>
      <c r="O21" s="378">
        <v>4.5999999999999996</v>
      </c>
      <c r="P21" s="1324">
        <v>1.08</v>
      </c>
      <c r="Q21" s="1315"/>
    </row>
    <row r="22" spans="2:55" ht="15" customHeight="1">
      <c r="I22" s="1315"/>
      <c r="J22" s="377" t="s">
        <v>283</v>
      </c>
      <c r="K22" s="378">
        <v>1.56</v>
      </c>
      <c r="L22" s="378">
        <v>6.9</v>
      </c>
      <c r="M22" s="378">
        <v>0.02</v>
      </c>
      <c r="N22" s="378">
        <v>2.8</v>
      </c>
      <c r="O22" s="378">
        <v>4.5999999999999996</v>
      </c>
      <c r="P22" s="1324">
        <v>1.08</v>
      </c>
      <c r="Q22" s="1315"/>
    </row>
    <row r="23" spans="2:55" ht="9.75" customHeight="1">
      <c r="I23" s="1323" t="s">
        <v>288</v>
      </c>
      <c r="J23" s="377" t="s">
        <v>282</v>
      </c>
      <c r="K23" s="378">
        <v>10</v>
      </c>
      <c r="L23" s="378">
        <v>15.9</v>
      </c>
      <c r="M23" s="378">
        <v>0.3</v>
      </c>
      <c r="N23" s="378">
        <v>11.2</v>
      </c>
      <c r="O23" s="378">
        <v>10</v>
      </c>
      <c r="P23" s="1324">
        <v>5</v>
      </c>
      <c r="Q23" s="1315"/>
    </row>
    <row r="24" spans="2:55" ht="15" customHeight="1">
      <c r="I24" s="1315"/>
      <c r="J24" s="377" t="s">
        <v>283</v>
      </c>
      <c r="K24" s="378">
        <v>10</v>
      </c>
      <c r="L24" s="378">
        <v>15.9</v>
      </c>
      <c r="M24" s="378">
        <v>0.3</v>
      </c>
      <c r="N24" s="378">
        <v>11.2</v>
      </c>
      <c r="O24" s="378">
        <v>10</v>
      </c>
      <c r="P24" s="1324">
        <v>5</v>
      </c>
      <c r="Q24" s="1315"/>
    </row>
    <row r="25" spans="2:55" ht="15" customHeight="1">
      <c r="I25" s="1323" t="s">
        <v>289</v>
      </c>
      <c r="J25" s="377" t="s">
        <v>282</v>
      </c>
      <c r="K25" s="378">
        <v>0.93</v>
      </c>
      <c r="L25" s="378">
        <v>28.2</v>
      </c>
      <c r="M25" s="378">
        <v>0.4</v>
      </c>
      <c r="N25" s="378">
        <v>21.9</v>
      </c>
      <c r="O25" s="378">
        <v>7</v>
      </c>
      <c r="P25" s="1324">
        <v>0.63</v>
      </c>
      <c r="Q25" s="1315"/>
    </row>
    <row r="26" spans="2:55" ht="15" customHeight="1">
      <c r="I26" s="1315"/>
      <c r="J26" s="377" t="s">
        <v>283</v>
      </c>
      <c r="K26" s="378">
        <v>0.93</v>
      </c>
      <c r="L26" s="378">
        <v>28.2</v>
      </c>
      <c r="M26" s="378">
        <v>0.4</v>
      </c>
      <c r="N26" s="378">
        <v>21.9</v>
      </c>
      <c r="O26" s="378">
        <v>7</v>
      </c>
      <c r="P26" s="1324">
        <v>0.63</v>
      </c>
      <c r="Q26" s="1315"/>
    </row>
    <row r="27" spans="2:55" ht="15" customHeight="1">
      <c r="I27" s="1323" t="s">
        <v>290</v>
      </c>
      <c r="J27" s="377" t="s">
        <v>282</v>
      </c>
      <c r="K27" s="378">
        <v>10.77</v>
      </c>
      <c r="L27" s="378">
        <v>63.71</v>
      </c>
      <c r="M27" s="378">
        <v>13.84</v>
      </c>
      <c r="N27" s="378">
        <v>77.349999999999994</v>
      </c>
      <c r="O27" s="378">
        <v>1.1599999999999999</v>
      </c>
      <c r="P27" s="1324">
        <v>9.81</v>
      </c>
      <c r="Q27" s="1315"/>
    </row>
    <row r="28" spans="2:55" ht="15" customHeight="1">
      <c r="I28" s="1315"/>
      <c r="J28" s="377" t="s">
        <v>283</v>
      </c>
      <c r="K28" s="378">
        <v>10.83</v>
      </c>
      <c r="L28" s="378">
        <v>62.71</v>
      </c>
      <c r="M28" s="378">
        <v>13.94</v>
      </c>
      <c r="N28" s="378">
        <v>77.19</v>
      </c>
      <c r="O28" s="378">
        <v>1.1599999999999999</v>
      </c>
      <c r="P28" s="1324">
        <v>9.1300000000000008</v>
      </c>
      <c r="Q28" s="1315"/>
    </row>
    <row r="29" spans="2:55" ht="15" customHeight="1">
      <c r="I29" s="1323" t="s">
        <v>291</v>
      </c>
      <c r="J29" s="377" t="s">
        <v>282</v>
      </c>
      <c r="K29" s="378">
        <v>0.65</v>
      </c>
      <c r="L29" s="378">
        <v>7.91</v>
      </c>
      <c r="M29" s="378">
        <v>0.7</v>
      </c>
      <c r="N29" s="378">
        <v>7.9</v>
      </c>
      <c r="O29" s="378">
        <v>0.83</v>
      </c>
      <c r="P29" s="1324">
        <v>0.53</v>
      </c>
      <c r="Q29" s="1315"/>
    </row>
    <row r="30" spans="2:55" ht="15" customHeight="1">
      <c r="I30" s="1315"/>
      <c r="J30" s="377" t="s">
        <v>283</v>
      </c>
      <c r="K30" s="378">
        <v>0.69</v>
      </c>
      <c r="L30" s="378">
        <v>7.91</v>
      </c>
      <c r="M30" s="378">
        <v>0.7</v>
      </c>
      <c r="N30" s="378">
        <v>7.94</v>
      </c>
      <c r="O30" s="378">
        <v>0.83</v>
      </c>
      <c r="P30" s="1324">
        <v>0.53</v>
      </c>
      <c r="Q30" s="1315"/>
    </row>
    <row r="31" spans="2:55" ht="15" customHeight="1">
      <c r="I31" s="1323" t="s">
        <v>292</v>
      </c>
      <c r="J31" s="377" t="s">
        <v>282</v>
      </c>
      <c r="K31" s="378">
        <v>1.23</v>
      </c>
      <c r="L31" s="378">
        <v>2.0099999999999998</v>
      </c>
      <c r="M31" s="378">
        <v>1.5</v>
      </c>
      <c r="N31" s="378">
        <v>3.28</v>
      </c>
      <c r="O31" s="378">
        <v>0.28000000000000003</v>
      </c>
      <c r="P31" s="1324">
        <v>1.18</v>
      </c>
      <c r="Q31" s="1315"/>
    </row>
    <row r="32" spans="2:55" ht="15" customHeight="1">
      <c r="I32" s="1315"/>
      <c r="J32" s="377" t="s">
        <v>283</v>
      </c>
      <c r="K32" s="378">
        <v>1.23</v>
      </c>
      <c r="L32" s="378">
        <v>2.0099999999999998</v>
      </c>
      <c r="M32" s="378">
        <v>1.5</v>
      </c>
      <c r="N32" s="378">
        <v>3.28</v>
      </c>
      <c r="O32" s="378">
        <v>0.28000000000000003</v>
      </c>
      <c r="P32" s="1324">
        <v>1.18</v>
      </c>
      <c r="Q32" s="1315"/>
    </row>
    <row r="33" spans="8:17" ht="15" customHeight="1">
      <c r="H33" s="14"/>
      <c r="I33" s="1323" t="s">
        <v>293</v>
      </c>
      <c r="J33" s="377" t="s">
        <v>282</v>
      </c>
      <c r="K33" s="378">
        <v>3.95</v>
      </c>
      <c r="L33" s="378">
        <v>36.299999999999997</v>
      </c>
      <c r="M33" s="378">
        <v>1.9</v>
      </c>
      <c r="N33" s="378">
        <v>38.299999999999997</v>
      </c>
      <c r="O33" s="378">
        <v>0</v>
      </c>
      <c r="P33" s="1324">
        <v>3.85</v>
      </c>
      <c r="Q33" s="1315"/>
    </row>
    <row r="34" spans="8:17" ht="15" customHeight="1">
      <c r="H34" s="14"/>
      <c r="I34" s="1315"/>
      <c r="J34" s="377" t="s">
        <v>283</v>
      </c>
      <c r="K34" s="378">
        <v>3.96</v>
      </c>
      <c r="L34" s="378">
        <v>35.299999999999997</v>
      </c>
      <c r="M34" s="378">
        <v>2</v>
      </c>
      <c r="N34" s="378">
        <v>38.1</v>
      </c>
      <c r="O34" s="378">
        <v>0</v>
      </c>
      <c r="P34" s="1324">
        <v>3.16</v>
      </c>
      <c r="Q34" s="1315"/>
    </row>
    <row r="35" spans="8:17" ht="27.75" customHeight="1">
      <c r="H35" s="14"/>
      <c r="I35" s="1323" t="s">
        <v>294</v>
      </c>
      <c r="J35" s="377" t="s">
        <v>282</v>
      </c>
      <c r="K35" s="378">
        <v>1.19</v>
      </c>
      <c r="L35" s="378">
        <v>2.71</v>
      </c>
      <c r="M35" s="378">
        <v>2.5</v>
      </c>
      <c r="N35" s="378">
        <v>5.85</v>
      </c>
      <c r="O35" s="378">
        <v>0</v>
      </c>
      <c r="P35" s="1324">
        <v>0.55000000000000004</v>
      </c>
      <c r="Q35" s="1315"/>
    </row>
    <row r="36" spans="8:17" ht="12.75">
      <c r="I36" s="1315"/>
      <c r="J36" s="377" t="s">
        <v>283</v>
      </c>
      <c r="K36" s="378">
        <v>1.19</v>
      </c>
      <c r="L36" s="378">
        <v>2.71</v>
      </c>
      <c r="M36" s="378">
        <v>2.5</v>
      </c>
      <c r="N36" s="378">
        <v>5.85</v>
      </c>
      <c r="O36" s="378">
        <v>0</v>
      </c>
      <c r="P36" s="1324">
        <v>0.55000000000000004</v>
      </c>
      <c r="Q36" s="1315"/>
    </row>
    <row r="37" spans="8:17" ht="12.75">
      <c r="I37" s="1323" t="s">
        <v>295</v>
      </c>
      <c r="J37" s="377" t="s">
        <v>282</v>
      </c>
      <c r="K37" s="378">
        <v>2.21</v>
      </c>
      <c r="L37" s="378">
        <v>11.5</v>
      </c>
      <c r="M37" s="378">
        <v>2</v>
      </c>
      <c r="N37" s="378">
        <v>13.25</v>
      </c>
      <c r="O37" s="378">
        <v>0</v>
      </c>
      <c r="P37" s="1324">
        <v>2.46</v>
      </c>
      <c r="Q37" s="1315"/>
    </row>
    <row r="38" spans="8:17" ht="12.75">
      <c r="I38" s="1315"/>
      <c r="J38" s="377" t="s">
        <v>283</v>
      </c>
      <c r="K38" s="378">
        <v>2.21</v>
      </c>
      <c r="L38" s="378">
        <v>11.5</v>
      </c>
      <c r="M38" s="378">
        <v>2</v>
      </c>
      <c r="N38" s="378">
        <v>13.25</v>
      </c>
      <c r="O38" s="378">
        <v>0</v>
      </c>
      <c r="P38" s="1324">
        <v>2.46</v>
      </c>
      <c r="Q38" s="1315"/>
    </row>
    <row r="39" spans="8:17" ht="12.75">
      <c r="I39" s="1323" t="s">
        <v>296</v>
      </c>
      <c r="J39" s="377" t="s">
        <v>282</v>
      </c>
      <c r="K39" s="378">
        <v>1.06</v>
      </c>
      <c r="L39" s="378">
        <v>1.89</v>
      </c>
      <c r="M39" s="378">
        <v>4.0999999999999996</v>
      </c>
      <c r="N39" s="378">
        <v>6.13</v>
      </c>
      <c r="O39" s="378">
        <v>0</v>
      </c>
      <c r="P39" s="1324">
        <v>0.93</v>
      </c>
      <c r="Q39" s="1315"/>
    </row>
    <row r="40" spans="8:17" ht="12.75">
      <c r="I40" s="1315"/>
      <c r="J40" s="377" t="s">
        <v>283</v>
      </c>
      <c r="K40" s="378">
        <v>1.06</v>
      </c>
      <c r="L40" s="378">
        <v>1.89</v>
      </c>
      <c r="M40" s="378">
        <v>4.0999999999999996</v>
      </c>
      <c r="N40" s="378">
        <v>6.13</v>
      </c>
      <c r="O40" s="378">
        <v>0</v>
      </c>
      <c r="P40" s="1324">
        <v>0.93</v>
      </c>
      <c r="Q40" s="1315"/>
    </row>
    <row r="41" spans="8:17" ht="25.5">
      <c r="I41" s="385" t="s">
        <v>297</v>
      </c>
      <c r="J41" s="377"/>
      <c r="K41" s="378"/>
      <c r="L41" s="378"/>
      <c r="M41" s="378"/>
      <c r="N41" s="378"/>
      <c r="O41" s="378"/>
      <c r="P41" s="1324"/>
      <c r="Q41" s="1315"/>
    </row>
    <row r="42" spans="8:17" ht="12.75">
      <c r="I42" s="1323" t="s">
        <v>298</v>
      </c>
      <c r="J42" s="377" t="s">
        <v>282</v>
      </c>
      <c r="K42" s="378">
        <v>0.56999999999999995</v>
      </c>
      <c r="L42" s="378">
        <v>12.2</v>
      </c>
      <c r="M42" s="378">
        <v>0</v>
      </c>
      <c r="N42" s="378">
        <v>10.65</v>
      </c>
      <c r="O42" s="378">
        <v>1.8</v>
      </c>
      <c r="P42" s="1324">
        <v>0.32</v>
      </c>
      <c r="Q42" s="1315"/>
    </row>
    <row r="43" spans="8:17" ht="12.75">
      <c r="I43" s="1315"/>
      <c r="J43" s="377" t="s">
        <v>283</v>
      </c>
      <c r="K43" s="378">
        <v>0.56999999999999995</v>
      </c>
      <c r="L43" s="378">
        <v>12.2</v>
      </c>
      <c r="M43" s="378">
        <v>0</v>
      </c>
      <c r="N43" s="378">
        <v>10.65</v>
      </c>
      <c r="O43" s="378">
        <v>1.8</v>
      </c>
      <c r="P43" s="1324">
        <v>0.32</v>
      </c>
      <c r="Q43" s="1315"/>
    </row>
    <row r="44" spans="8:17" ht="12.75">
      <c r="I44" s="1323" t="s">
        <v>299</v>
      </c>
      <c r="J44" s="377" t="s">
        <v>282</v>
      </c>
      <c r="K44" s="378">
        <v>0.47</v>
      </c>
      <c r="L44" s="378">
        <v>1.61</v>
      </c>
      <c r="M44" s="378">
        <v>1.69</v>
      </c>
      <c r="N44" s="378">
        <v>3.33</v>
      </c>
      <c r="O44" s="378">
        <v>0.01</v>
      </c>
      <c r="P44" s="1324">
        <v>0.43</v>
      </c>
      <c r="Q44" s="1315"/>
    </row>
    <row r="45" spans="8:17" ht="12.75">
      <c r="I45" s="1315"/>
      <c r="J45" s="377" t="s">
        <v>283</v>
      </c>
      <c r="K45" s="378">
        <v>0.47</v>
      </c>
      <c r="L45" s="378">
        <v>1.61</v>
      </c>
      <c r="M45" s="378">
        <v>1.69</v>
      </c>
      <c r="N45" s="378">
        <v>3.33</v>
      </c>
      <c r="O45" s="378">
        <v>0.01</v>
      </c>
      <c r="P45" s="1324">
        <v>0.43</v>
      </c>
      <c r="Q45" s="1315"/>
    </row>
    <row r="46" spans="8:17" ht="12.75">
      <c r="I46" s="1323" t="s">
        <v>300</v>
      </c>
      <c r="J46" s="377" t="s">
        <v>282</v>
      </c>
      <c r="K46" s="378">
        <v>47.66</v>
      </c>
      <c r="L46" s="378">
        <v>145.77000000000001</v>
      </c>
      <c r="M46" s="378">
        <v>4.7</v>
      </c>
      <c r="N46" s="378">
        <v>150</v>
      </c>
      <c r="O46" s="378">
        <v>0.45</v>
      </c>
      <c r="P46" s="1324">
        <v>47.68</v>
      </c>
      <c r="Q46" s="1315"/>
    </row>
    <row r="47" spans="8:17" ht="12.75">
      <c r="I47" s="1315"/>
      <c r="J47" s="377" t="s">
        <v>283</v>
      </c>
      <c r="K47" s="378">
        <v>47.64</v>
      </c>
      <c r="L47" s="378">
        <v>145.77000000000001</v>
      </c>
      <c r="M47" s="378">
        <v>5</v>
      </c>
      <c r="N47" s="378">
        <v>150.30000000000001</v>
      </c>
      <c r="O47" s="378">
        <v>0.35</v>
      </c>
      <c r="P47" s="1324">
        <v>47.76</v>
      </c>
      <c r="Q47" s="1315"/>
    </row>
    <row r="48" spans="8:17" ht="12.75">
      <c r="I48" s="1323" t="s">
        <v>301</v>
      </c>
      <c r="J48" s="377" t="s">
        <v>282</v>
      </c>
      <c r="K48" s="378">
        <v>0.92</v>
      </c>
      <c r="L48" s="378">
        <v>4</v>
      </c>
      <c r="M48" s="378">
        <v>0.03</v>
      </c>
      <c r="N48" s="378">
        <v>4</v>
      </c>
      <c r="O48" s="378">
        <v>0.4</v>
      </c>
      <c r="P48" s="1324">
        <v>0.54</v>
      </c>
      <c r="Q48" s="1315"/>
    </row>
    <row r="49" spans="9:19" ht="12.75">
      <c r="I49" s="1315"/>
      <c r="J49" s="377" t="s">
        <v>283</v>
      </c>
      <c r="K49" s="378">
        <v>0.92</v>
      </c>
      <c r="L49" s="378">
        <v>4</v>
      </c>
      <c r="M49" s="378">
        <v>0.03</v>
      </c>
      <c r="N49" s="378">
        <v>4</v>
      </c>
      <c r="O49" s="378">
        <v>0.4</v>
      </c>
      <c r="P49" s="1324">
        <v>0.54</v>
      </c>
      <c r="Q49" s="1315"/>
      <c r="R49" s="370"/>
      <c r="S49" s="370"/>
    </row>
    <row r="50" spans="9:19" ht="12.75">
      <c r="I50" s="1323" t="s">
        <v>302</v>
      </c>
      <c r="J50" s="377" t="s">
        <v>282</v>
      </c>
      <c r="K50" s="378">
        <v>3.2</v>
      </c>
      <c r="L50" s="378">
        <v>7.9</v>
      </c>
      <c r="M50" s="378">
        <v>0.7</v>
      </c>
      <c r="N50" s="378">
        <v>8.3800000000000008</v>
      </c>
      <c r="O50" s="378">
        <v>0.08</v>
      </c>
      <c r="P50" s="1324">
        <v>3.35</v>
      </c>
      <c r="Q50" s="1315"/>
      <c r="R50" s="370"/>
      <c r="S50" s="370"/>
    </row>
    <row r="51" spans="9:19" ht="12.75">
      <c r="I51" s="1315"/>
      <c r="J51" s="377" t="s">
        <v>283</v>
      </c>
      <c r="K51" s="378">
        <v>3.2</v>
      </c>
      <c r="L51" s="378">
        <v>7.65</v>
      </c>
      <c r="M51" s="378">
        <v>0.7</v>
      </c>
      <c r="N51" s="378">
        <v>8.3000000000000007</v>
      </c>
      <c r="O51" s="378">
        <v>0.08</v>
      </c>
      <c r="P51" s="1324">
        <v>3.18</v>
      </c>
      <c r="Q51" s="1315"/>
      <c r="R51" s="370"/>
      <c r="S51" s="370"/>
    </row>
    <row r="52" spans="9:19" ht="12.75">
      <c r="I52" s="1323" t="s">
        <v>303</v>
      </c>
      <c r="J52" s="377" t="s">
        <v>282</v>
      </c>
      <c r="K52" s="378">
        <v>0.15</v>
      </c>
      <c r="L52" s="378">
        <v>0.13</v>
      </c>
      <c r="M52" s="378">
        <v>0.7</v>
      </c>
      <c r="N52" s="378">
        <v>0.87</v>
      </c>
      <c r="O52" s="378">
        <v>0</v>
      </c>
      <c r="P52" s="1324">
        <v>0.11</v>
      </c>
      <c r="Q52" s="1315"/>
      <c r="R52" s="370"/>
      <c r="S52" s="370"/>
    </row>
    <row r="53" spans="9:19" ht="12.75">
      <c r="I53" s="1315"/>
      <c r="J53" s="377" t="s">
        <v>283</v>
      </c>
      <c r="K53" s="378">
        <v>0.15</v>
      </c>
      <c r="L53" s="378">
        <v>0.13</v>
      </c>
      <c r="M53" s="378">
        <v>0.7</v>
      </c>
      <c r="N53" s="378">
        <v>0.87</v>
      </c>
      <c r="O53" s="378">
        <v>0</v>
      </c>
      <c r="P53" s="1324">
        <v>0.11</v>
      </c>
      <c r="Q53" s="1315"/>
      <c r="R53" s="370"/>
      <c r="S53" s="370"/>
    </row>
    <row r="54" spans="9:19" ht="12.75">
      <c r="I54" s="1323" t="s">
        <v>304</v>
      </c>
      <c r="J54" s="377" t="s">
        <v>282</v>
      </c>
      <c r="K54" s="378">
        <v>1.19</v>
      </c>
      <c r="L54" s="378">
        <v>4.33</v>
      </c>
      <c r="M54" s="378">
        <v>0.47</v>
      </c>
      <c r="N54" s="378">
        <v>4.3899999999999997</v>
      </c>
      <c r="O54" s="378">
        <v>0</v>
      </c>
      <c r="P54" s="1324">
        <v>1.59</v>
      </c>
      <c r="Q54" s="1315"/>
      <c r="R54" s="370"/>
      <c r="S54" s="370"/>
    </row>
    <row r="55" spans="9:19" ht="12.75">
      <c r="I55" s="1315"/>
      <c r="J55" s="377" t="s">
        <v>283</v>
      </c>
      <c r="K55" s="378">
        <v>1.19</v>
      </c>
      <c r="L55" s="378">
        <v>4.33</v>
      </c>
      <c r="M55" s="378">
        <v>0.47</v>
      </c>
      <c r="N55" s="378">
        <v>4.3899999999999997</v>
      </c>
      <c r="O55" s="378">
        <v>0</v>
      </c>
      <c r="P55" s="1324">
        <v>1.59</v>
      </c>
      <c r="Q55" s="1315"/>
      <c r="R55" s="370"/>
      <c r="S55" s="370"/>
    </row>
    <row r="56" spans="9:19" ht="13.5" thickBot="1">
      <c r="I56" s="386"/>
      <c r="J56" s="387"/>
      <c r="K56" s="388"/>
      <c r="L56" s="388"/>
      <c r="M56" s="388"/>
      <c r="N56" s="388"/>
      <c r="O56" s="388"/>
      <c r="P56" s="1325"/>
      <c r="Q56" s="1326"/>
      <c r="R56" s="370"/>
      <c r="S56" s="370"/>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pageSetUpPr fitToPage="1"/>
  </sheetPr>
  <dimension ref="B1:X39"/>
  <sheetViews>
    <sheetView zoomScaleNormal="100" workbookViewId="0">
      <selection activeCell="D38" sqref="D38"/>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2" customWidth="1"/>
    <col min="11" max="11" width="6.1796875" style="2" bestFit="1" customWidth="1"/>
    <col min="12" max="13" width="5.36328125" style="2" customWidth="1"/>
    <col min="14" max="14" width="6.90625" style="2" customWidth="1"/>
    <col min="15" max="17" width="5.7265625" style="2" customWidth="1"/>
    <col min="18" max="18" width="10.90625" style="2"/>
    <col min="19" max="16384" width="10.90625" style="1"/>
  </cols>
  <sheetData>
    <row r="1" spans="2:24" s="23" customFormat="1" ht="12.75">
      <c r="B1" s="1104" t="s">
        <v>1</v>
      </c>
      <c r="C1" s="1104"/>
      <c r="D1" s="1104"/>
      <c r="E1" s="1104"/>
      <c r="F1" s="1104"/>
      <c r="G1" s="1104"/>
      <c r="J1" s="31"/>
      <c r="K1" s="31"/>
      <c r="L1" s="31"/>
      <c r="M1" s="31"/>
      <c r="N1" s="31"/>
      <c r="O1" s="31"/>
      <c r="P1" s="31"/>
      <c r="Q1" s="31"/>
      <c r="R1" s="31"/>
    </row>
    <row r="2" spans="2:24" s="23" customFormat="1" ht="12.75">
      <c r="B2" s="28"/>
      <c r="C2" s="28"/>
      <c r="D2" s="28"/>
      <c r="E2" s="28"/>
      <c r="F2" s="28"/>
      <c r="G2" s="28"/>
      <c r="J2" s="31"/>
      <c r="K2" s="31"/>
      <c r="L2" s="31"/>
      <c r="M2" s="31"/>
      <c r="N2" s="31"/>
      <c r="O2" s="31"/>
      <c r="P2" s="31"/>
      <c r="Q2" s="31"/>
      <c r="R2" s="31"/>
    </row>
    <row r="3" spans="2:24" s="23" customFormat="1" ht="12.75">
      <c r="B3" s="1104" t="s">
        <v>248</v>
      </c>
      <c r="C3" s="1104"/>
      <c r="D3" s="1104"/>
      <c r="E3" s="1104"/>
      <c r="F3" s="1104"/>
      <c r="G3" s="1104"/>
      <c r="J3" s="31"/>
      <c r="K3" s="31"/>
      <c r="L3" s="31"/>
      <c r="M3" s="31"/>
      <c r="N3" s="31"/>
      <c r="O3" s="31"/>
      <c r="P3" s="31"/>
      <c r="Q3" s="31"/>
      <c r="R3" s="31"/>
    </row>
    <row r="4" spans="2:24" s="23" customFormat="1" ht="15.75" customHeight="1">
      <c r="B4" s="1098" t="s">
        <v>733</v>
      </c>
      <c r="C4" s="1098"/>
      <c r="D4" s="1098"/>
      <c r="E4" s="1098"/>
      <c r="F4" s="1098"/>
      <c r="G4" s="1098"/>
      <c r="H4" s="38"/>
      <c r="J4" s="550"/>
      <c r="K4" s="551"/>
      <c r="L4" s="551"/>
      <c r="M4" s="551"/>
      <c r="N4" s="551"/>
      <c r="O4" s="551"/>
      <c r="P4" s="1327"/>
      <c r="Q4" s="1330"/>
      <c r="R4" s="31"/>
    </row>
    <row r="5" spans="2:24" s="35" customFormat="1" ht="27.95" customHeight="1">
      <c r="B5" s="800" t="s">
        <v>444</v>
      </c>
      <c r="C5" s="800" t="s">
        <v>194</v>
      </c>
      <c r="D5" s="800" t="s">
        <v>6</v>
      </c>
      <c r="E5" s="800" t="s">
        <v>13</v>
      </c>
      <c r="F5" s="800" t="s">
        <v>129</v>
      </c>
      <c r="G5" s="800" t="s">
        <v>196</v>
      </c>
      <c r="I5" s="389"/>
      <c r="J5" s="552"/>
      <c r="K5" s="551"/>
      <c r="L5" s="551"/>
      <c r="M5" s="551"/>
      <c r="N5" s="551"/>
      <c r="O5" s="551"/>
      <c r="P5" s="1327"/>
      <c r="Q5" s="1328"/>
      <c r="R5" s="46"/>
    </row>
    <row r="6" spans="2:24" s="35" customFormat="1" ht="15.75" customHeight="1">
      <c r="B6" s="60" t="s">
        <v>65</v>
      </c>
      <c r="C6" s="670">
        <v>106.76</v>
      </c>
      <c r="D6" s="670">
        <v>471.97</v>
      </c>
      <c r="E6" s="670">
        <v>468.72</v>
      </c>
      <c r="F6" s="670">
        <v>110.01</v>
      </c>
      <c r="G6" s="673">
        <f t="shared" ref="G6:G14" si="0">+F6/E6</f>
        <v>0.23470302099334356</v>
      </c>
      <c r="I6" s="390"/>
      <c r="J6" s="550"/>
      <c r="K6" s="553"/>
      <c r="L6" s="553"/>
      <c r="M6" s="553"/>
      <c r="N6" s="553"/>
      <c r="O6" s="553"/>
      <c r="P6" s="1331"/>
      <c r="Q6" s="1328"/>
      <c r="R6" s="46"/>
    </row>
    <row r="7" spans="2:24" s="35" customFormat="1" ht="15.75" customHeight="1">
      <c r="B7" s="60" t="s">
        <v>69</v>
      </c>
      <c r="C7" s="670">
        <v>110.62</v>
      </c>
      <c r="D7" s="670">
        <v>478.42</v>
      </c>
      <c r="E7" s="670">
        <v>481.56</v>
      </c>
      <c r="F7" s="670">
        <v>107.48</v>
      </c>
      <c r="G7" s="673">
        <f t="shared" si="0"/>
        <v>0.22319129495805301</v>
      </c>
      <c r="I7" s="390"/>
      <c r="J7" s="552"/>
      <c r="K7" s="551"/>
      <c r="L7" s="551"/>
      <c r="M7" s="551"/>
      <c r="N7" s="551"/>
      <c r="O7" s="551"/>
      <c r="P7" s="1327"/>
      <c r="Q7" s="1328"/>
      <c r="R7" s="46"/>
    </row>
    <row r="8" spans="2:24" s="35" customFormat="1" ht="15.75" customHeight="1">
      <c r="B8" s="60" t="s">
        <v>139</v>
      </c>
      <c r="C8" s="670">
        <v>113.76</v>
      </c>
      <c r="D8" s="670">
        <v>478.7</v>
      </c>
      <c r="E8" s="670">
        <v>478.09</v>
      </c>
      <c r="F8" s="670">
        <v>114.37</v>
      </c>
      <c r="G8" s="673">
        <f t="shared" si="0"/>
        <v>0.23922274048819261</v>
      </c>
      <c r="I8" s="1"/>
      <c r="J8" s="1"/>
      <c r="K8" s="1"/>
      <c r="L8" s="1"/>
      <c r="M8" s="1"/>
      <c r="N8" s="1"/>
      <c r="O8" s="1"/>
      <c r="P8" s="1"/>
      <c r="Q8" s="46"/>
      <c r="R8" s="46"/>
    </row>
    <row r="9" spans="2:24" s="35" customFormat="1" ht="15.75" customHeight="1">
      <c r="B9" s="232" t="s">
        <v>360</v>
      </c>
      <c r="C9" s="671">
        <v>127.89</v>
      </c>
      <c r="D9" s="671">
        <v>472.94</v>
      </c>
      <c r="E9" s="671">
        <v>468.09</v>
      </c>
      <c r="F9" s="671">
        <v>132.74</v>
      </c>
      <c r="G9" s="673">
        <f t="shared" si="0"/>
        <v>0.28357794441239936</v>
      </c>
      <c r="I9" s="1"/>
      <c r="J9" s="1"/>
      <c r="K9" s="1"/>
      <c r="L9" s="1"/>
      <c r="M9" s="1"/>
      <c r="N9" s="1"/>
      <c r="O9" s="1"/>
      <c r="P9" s="1"/>
      <c r="Q9" s="46"/>
      <c r="R9" s="138"/>
      <c r="W9" s="46"/>
      <c r="X9" s="46"/>
    </row>
    <row r="10" spans="2:24" s="132" customFormat="1" ht="15.75" customHeight="1">
      <c r="B10" s="232" t="s">
        <v>446</v>
      </c>
      <c r="C10" s="671">
        <v>142.63999999999999</v>
      </c>
      <c r="D10" s="671">
        <v>490.95</v>
      </c>
      <c r="E10" s="671">
        <v>483.69</v>
      </c>
      <c r="F10" s="671">
        <v>149.88999999999999</v>
      </c>
      <c r="G10" s="673">
        <f t="shared" si="0"/>
        <v>0.30988856498997291</v>
      </c>
      <c r="H10" s="35"/>
      <c r="I10" s="1"/>
      <c r="J10" s="1"/>
      <c r="K10" s="1"/>
      <c r="L10" s="1"/>
      <c r="M10" s="1"/>
      <c r="N10" s="1"/>
      <c r="O10" s="1"/>
      <c r="P10" s="1"/>
      <c r="Q10" s="138"/>
      <c r="R10" s="138"/>
      <c r="U10" s="138"/>
      <c r="X10" s="138"/>
    </row>
    <row r="11" spans="2:24" s="132" customFormat="1" ht="15.75" customHeight="1">
      <c r="B11" s="232" t="s">
        <v>481</v>
      </c>
      <c r="C11" s="672">
        <v>149.88999999999999</v>
      </c>
      <c r="D11" s="672">
        <v>494.92</v>
      </c>
      <c r="E11" s="672">
        <v>482.28</v>
      </c>
      <c r="F11" s="672">
        <v>162.53</v>
      </c>
      <c r="G11" s="673">
        <f t="shared" si="0"/>
        <v>0.33700340051422412</v>
      </c>
      <c r="H11" s="213"/>
      <c r="I11" s="474"/>
      <c r="J11" s="554"/>
      <c r="K11" s="138"/>
      <c r="L11" s="138"/>
      <c r="M11" s="138"/>
      <c r="N11" s="138"/>
      <c r="O11" s="138"/>
      <c r="P11" s="138"/>
      <c r="Q11" s="138"/>
      <c r="R11" s="2"/>
      <c r="S11" s="35"/>
      <c r="V11" s="1"/>
      <c r="X11" s="213"/>
    </row>
    <row r="12" spans="2:24" s="132" customFormat="1" ht="15.75" customHeight="1">
      <c r="B12" s="652" t="s">
        <v>582</v>
      </c>
      <c r="C12" s="863">
        <v>164.03</v>
      </c>
      <c r="D12" s="863">
        <v>497.34</v>
      </c>
      <c r="E12" s="863">
        <v>484.64</v>
      </c>
      <c r="F12" s="864">
        <v>176.73</v>
      </c>
      <c r="G12" s="673">
        <f t="shared" si="0"/>
        <v>0.36466242984483327</v>
      </c>
      <c r="H12" s="213"/>
      <c r="I12" s="474"/>
      <c r="J12" s="554"/>
      <c r="K12" s="795"/>
      <c r="L12" s="138"/>
      <c r="M12" s="138"/>
      <c r="N12" s="138"/>
      <c r="O12" s="138"/>
      <c r="P12" s="138"/>
      <c r="Q12" s="138"/>
      <c r="R12" s="2"/>
      <c r="S12" s="35"/>
      <c r="V12" s="1"/>
      <c r="X12" s="213"/>
    </row>
    <row r="13" spans="2:24" s="132" customFormat="1" ht="15.75" customHeight="1">
      <c r="B13" s="816" t="s">
        <v>545</v>
      </c>
      <c r="C13" s="863">
        <v>176.73</v>
      </c>
      <c r="D13" s="863">
        <v>497.71</v>
      </c>
      <c r="E13" s="863">
        <v>496.33</v>
      </c>
      <c r="F13" s="863">
        <v>178.12</v>
      </c>
      <c r="G13" s="673">
        <f t="shared" si="0"/>
        <v>0.35887413615941011</v>
      </c>
      <c r="H13" s="213"/>
      <c r="I13" s="474"/>
      <c r="J13" s="554"/>
      <c r="K13" s="795"/>
      <c r="L13" s="138"/>
      <c r="M13" s="138"/>
      <c r="N13" s="138"/>
      <c r="O13" s="138"/>
      <c r="P13" s="138"/>
      <c r="Q13" s="138"/>
      <c r="R13" s="2"/>
      <c r="S13" s="35"/>
      <c r="V13" s="1"/>
      <c r="X13" s="213"/>
    </row>
    <row r="14" spans="2:24" s="132" customFormat="1" ht="15.75" customHeight="1">
      <c r="B14" s="232" t="s">
        <v>544</v>
      </c>
      <c r="C14" s="672">
        <v>178.12</v>
      </c>
      <c r="D14" s="672">
        <v>504.41</v>
      </c>
      <c r="E14" s="672">
        <v>504.69</v>
      </c>
      <c r="F14" s="672">
        <v>178.83</v>
      </c>
      <c r="G14" s="673">
        <f t="shared" si="0"/>
        <v>0.35433632526897701</v>
      </c>
      <c r="H14" s="369"/>
      <c r="I14" s="556"/>
      <c r="J14" s="555"/>
      <c r="K14" s="795"/>
      <c r="L14" s="555"/>
      <c r="M14" s="555"/>
      <c r="N14" s="555"/>
      <c r="O14" s="555"/>
      <c r="P14" s="555"/>
      <c r="Q14" s="555"/>
      <c r="R14" s="555"/>
      <c r="S14" s="390"/>
      <c r="T14" s="390"/>
      <c r="U14" s="390"/>
      <c r="V14" s="390"/>
      <c r="W14" s="390"/>
      <c r="X14" s="138"/>
    </row>
    <row r="15" spans="2:24" s="35" customFormat="1" ht="18.75" customHeight="1">
      <c r="B15" s="1329" t="s">
        <v>167</v>
      </c>
      <c r="C15" s="1329"/>
      <c r="D15" s="1329"/>
      <c r="E15" s="1329"/>
      <c r="F15" s="1329"/>
      <c r="G15" s="1329"/>
      <c r="H15" s="45"/>
      <c r="I15" s="191"/>
      <c r="J15" s="46"/>
      <c r="K15" s="338"/>
      <c r="L15" s="46"/>
      <c r="M15" s="46"/>
      <c r="N15" s="46"/>
      <c r="O15" s="46"/>
      <c r="P15" s="46"/>
      <c r="Q15" s="46"/>
      <c r="R15" s="2"/>
      <c r="W15" s="46"/>
      <c r="X15" s="46"/>
    </row>
    <row r="16" spans="2:24" s="35" customFormat="1" ht="18.75" customHeight="1">
      <c r="B16" s="594"/>
      <c r="C16" s="594"/>
      <c r="D16" s="594"/>
      <c r="E16" s="594"/>
      <c r="F16" s="594"/>
      <c r="G16" s="594"/>
      <c r="H16" s="45"/>
      <c r="I16" s="191"/>
      <c r="J16" s="46"/>
      <c r="K16" s="338"/>
      <c r="L16" s="46"/>
      <c r="M16" s="46"/>
      <c r="N16" s="46"/>
      <c r="O16" s="46"/>
      <c r="P16" s="46"/>
      <c r="Q16" s="46"/>
      <c r="R16" s="2"/>
      <c r="W16" s="46"/>
      <c r="X16" s="46"/>
    </row>
    <row r="17" spans="3:24" ht="15" customHeight="1">
      <c r="C17" s="588"/>
      <c r="D17" s="588"/>
      <c r="E17" s="588"/>
      <c r="F17" s="588"/>
      <c r="G17" s="588"/>
      <c r="H17" s="9"/>
      <c r="W17" s="2"/>
      <c r="X17" s="2"/>
    </row>
    <row r="18" spans="3:24" ht="9.75" customHeight="1">
      <c r="H18" s="9"/>
      <c r="W18" s="2"/>
      <c r="X18" s="2"/>
    </row>
    <row r="19" spans="3:24" ht="15" customHeight="1">
      <c r="D19" s="339"/>
      <c r="H19" s="8"/>
    </row>
    <row r="20" spans="3:24" ht="15" customHeight="1">
      <c r="H20" s="8"/>
    </row>
    <row r="21" spans="3:24" ht="15" customHeight="1">
      <c r="H21" s="8"/>
    </row>
    <row r="22" spans="3:24" ht="15" customHeight="1">
      <c r="H22" s="10"/>
      <c r="I22" s="15"/>
    </row>
    <row r="23" spans="3:24" ht="15" customHeight="1">
      <c r="H23" s="10"/>
    </row>
    <row r="24" spans="3:24" ht="15" customHeight="1">
      <c r="H24" s="10"/>
      <c r="K24" s="94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19"/>
      <c r="L29" s="14"/>
      <c r="M29" s="14"/>
      <c r="N29" s="14"/>
    </row>
    <row r="30" spans="3:24" ht="15" customHeight="1">
      <c r="H30" s="10"/>
      <c r="I30" s="14"/>
      <c r="J30" s="14"/>
      <c r="K30" s="14"/>
      <c r="L30" s="14"/>
      <c r="M30" s="14"/>
      <c r="N30" s="14"/>
    </row>
    <row r="31" spans="3:24" ht="15" customHeight="1">
      <c r="I31" s="391"/>
      <c r="J31" s="392"/>
      <c r="K31" s="392"/>
      <c r="L31" s="392"/>
      <c r="M31" s="392"/>
      <c r="N31" s="393"/>
    </row>
    <row r="33" spans="2:13" ht="14.25" customHeight="1"/>
    <row r="34" spans="2:13" ht="14.25" customHeight="1"/>
    <row r="35" spans="2:13" ht="14.25" customHeight="1"/>
    <row r="36" spans="2:13" ht="14.25" customHeight="1"/>
    <row r="38" spans="2:13">
      <c r="B38" s="16"/>
      <c r="C38" s="760"/>
      <c r="D38" s="760"/>
      <c r="E38" s="760"/>
      <c r="F38" s="760"/>
      <c r="G38" s="760"/>
      <c r="H38" s="16"/>
      <c r="I38" s="16"/>
      <c r="J38" s="14"/>
      <c r="K38" s="14"/>
      <c r="L38" s="14"/>
      <c r="M38" s="14"/>
    </row>
    <row r="39" spans="2:13" ht="18">
      <c r="C39" s="18"/>
      <c r="D39" s="482"/>
      <c r="E39" s="18"/>
      <c r="F39" s="18"/>
      <c r="G39" s="18"/>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R43"/>
  <sheetViews>
    <sheetView topLeftCell="A4" zoomScaleNormal="100" workbookViewId="0">
      <selection activeCell="A16" sqref="A16:G16"/>
    </sheetView>
  </sheetViews>
  <sheetFormatPr baseColWidth="10" defaultColWidth="10.90625" defaultRowHeight="12"/>
  <cols>
    <col min="1" max="1" width="11.81640625" style="1" customWidth="1"/>
    <col min="2" max="6" width="9" style="1" customWidth="1"/>
    <col min="7" max="7" width="9.81640625" style="1" customWidth="1"/>
    <col min="8" max="8" width="6.90625" style="34" customWidth="1"/>
    <col min="9" max="14" width="10.90625" style="34"/>
    <col min="15" max="18" width="10.90625" style="113"/>
    <col min="19" max="16384" width="10.90625" style="1"/>
  </cols>
  <sheetData>
    <row r="1" spans="1:18" s="23" customFormat="1" ht="12.75">
      <c r="A1" s="1104" t="s">
        <v>1</v>
      </c>
      <c r="B1" s="1104"/>
      <c r="C1" s="1104"/>
      <c r="D1" s="1104"/>
      <c r="E1" s="1104"/>
      <c r="F1" s="1104"/>
      <c r="G1" s="1104"/>
      <c r="H1" s="178"/>
      <c r="I1" s="178"/>
      <c r="J1" s="178"/>
      <c r="K1" s="178"/>
      <c r="L1" s="178"/>
      <c r="M1" s="178"/>
      <c r="N1" s="178"/>
      <c r="O1" s="107"/>
      <c r="P1" s="107"/>
      <c r="Q1" s="107"/>
      <c r="R1" s="107"/>
    </row>
    <row r="2" spans="1:18" s="23" customFormat="1" ht="12.75">
      <c r="A2" s="28"/>
      <c r="B2" s="28"/>
      <c r="C2" s="28"/>
      <c r="D2" s="28"/>
      <c r="E2" s="28"/>
      <c r="F2" s="28"/>
      <c r="G2" s="28"/>
      <c r="H2" s="178"/>
      <c r="I2" s="178"/>
      <c r="J2" s="178"/>
      <c r="K2" s="178"/>
      <c r="L2" s="178"/>
      <c r="M2" s="178"/>
      <c r="N2" s="178"/>
      <c r="O2" s="107"/>
      <c r="P2" s="107"/>
      <c r="Q2" s="107"/>
      <c r="R2" s="107"/>
    </row>
    <row r="3" spans="1:18" s="23" customFormat="1" ht="12.75">
      <c r="A3" s="1104" t="s">
        <v>429</v>
      </c>
      <c r="B3" s="1104"/>
      <c r="C3" s="1104"/>
      <c r="D3" s="1104"/>
      <c r="E3" s="1104"/>
      <c r="F3" s="1104"/>
      <c r="G3" s="1104"/>
      <c r="H3" s="178"/>
      <c r="I3" s="178"/>
      <c r="J3" s="178"/>
      <c r="K3" s="178"/>
      <c r="L3" s="178"/>
      <c r="M3" s="178"/>
      <c r="N3" s="178"/>
      <c r="O3" s="107"/>
      <c r="P3" s="107"/>
      <c r="Q3" s="107"/>
      <c r="R3" s="107"/>
    </row>
    <row r="4" spans="1:18" s="23" customFormat="1" ht="12.75">
      <c r="A4" s="1105" t="s">
        <v>733</v>
      </c>
      <c r="B4" s="1105"/>
      <c r="C4" s="1105"/>
      <c r="D4" s="1105"/>
      <c r="E4" s="1105"/>
      <c r="F4" s="1105"/>
      <c r="G4" s="1105"/>
      <c r="H4" s="178"/>
      <c r="I4" s="178"/>
      <c r="J4" s="178"/>
      <c r="K4" s="178"/>
      <c r="L4" s="178"/>
      <c r="M4" s="178"/>
      <c r="N4" s="178"/>
      <c r="O4" s="107"/>
      <c r="P4" s="107"/>
      <c r="Q4" s="107"/>
      <c r="R4" s="107"/>
    </row>
    <row r="5" spans="1:18" s="21" customFormat="1" ht="49.5" customHeight="1">
      <c r="A5" s="585" t="s">
        <v>362</v>
      </c>
      <c r="B5" s="585" t="s">
        <v>127</v>
      </c>
      <c r="C5" s="585" t="s">
        <v>6</v>
      </c>
      <c r="D5" s="585" t="s">
        <v>13</v>
      </c>
      <c r="E5" s="585" t="s">
        <v>110</v>
      </c>
      <c r="F5" s="585" t="s">
        <v>129</v>
      </c>
      <c r="G5" s="585" t="s">
        <v>130</v>
      </c>
      <c r="H5" s="178"/>
      <c r="I5" s="33"/>
      <c r="J5" s="33"/>
      <c r="K5" s="33"/>
      <c r="L5" s="33"/>
      <c r="M5" s="33"/>
      <c r="N5" s="33"/>
      <c r="O5" s="115"/>
      <c r="P5" s="115"/>
      <c r="Q5" s="115"/>
      <c r="R5" s="115"/>
    </row>
    <row r="6" spans="1:18" s="21" customFormat="1" ht="15.75" customHeight="1">
      <c r="A6" s="102" t="s">
        <v>63</v>
      </c>
      <c r="B6" s="667">
        <v>199.12700000000001</v>
      </c>
      <c r="C6" s="668">
        <v>695.95</v>
      </c>
      <c r="D6" s="668">
        <v>697.43299999999999</v>
      </c>
      <c r="E6" s="668">
        <v>158.19800000000001</v>
      </c>
      <c r="F6" s="667">
        <v>197.64400000000001</v>
      </c>
      <c r="G6" s="71">
        <v>0.28338779495664818</v>
      </c>
      <c r="H6" s="184"/>
      <c r="I6" s="178"/>
      <c r="J6" s="178"/>
      <c r="K6" s="178"/>
      <c r="L6" s="178"/>
      <c r="M6" s="178"/>
      <c r="N6" s="178"/>
      <c r="O6" s="178"/>
      <c r="P6" s="178"/>
      <c r="Q6" s="178"/>
      <c r="R6" s="178"/>
    </row>
    <row r="7" spans="1:18" s="21" customFormat="1" ht="15.75" customHeight="1">
      <c r="A7" s="102" t="s">
        <v>65</v>
      </c>
      <c r="B7" s="667">
        <v>197.64400000000001</v>
      </c>
      <c r="C7" s="668">
        <v>658.649</v>
      </c>
      <c r="D7" s="668">
        <v>679.38300000000004</v>
      </c>
      <c r="E7" s="668">
        <v>137.33000000000001</v>
      </c>
      <c r="F7" s="667">
        <v>176.91</v>
      </c>
      <c r="G7" s="71">
        <v>0.26039803763120356</v>
      </c>
      <c r="H7" s="184"/>
      <c r="I7" s="178"/>
      <c r="J7" s="178"/>
      <c r="K7" s="178"/>
      <c r="L7" s="178"/>
      <c r="M7" s="178"/>
      <c r="N7" s="178"/>
      <c r="O7" s="178"/>
      <c r="P7" s="178"/>
      <c r="Q7" s="178"/>
      <c r="R7" s="178"/>
    </row>
    <row r="8" spans="1:18" s="21" customFormat="1" ht="15.75" customHeight="1">
      <c r="A8" s="102" t="s">
        <v>69</v>
      </c>
      <c r="B8" s="667">
        <v>177.06</v>
      </c>
      <c r="C8" s="668">
        <v>715.36</v>
      </c>
      <c r="D8" s="668">
        <v>698.33</v>
      </c>
      <c r="E8" s="668">
        <v>165.91</v>
      </c>
      <c r="F8" s="667">
        <v>194.09</v>
      </c>
      <c r="G8" s="71">
        <v>0.27793450088067245</v>
      </c>
      <c r="H8" s="184"/>
      <c r="I8" s="178"/>
      <c r="J8" s="178"/>
      <c r="K8" s="178"/>
      <c r="L8" s="178"/>
      <c r="M8" s="178"/>
      <c r="N8" s="178"/>
      <c r="O8" s="178"/>
      <c r="P8" s="178"/>
      <c r="Q8" s="178"/>
      <c r="R8" s="178"/>
    </row>
    <row r="9" spans="1:18" s="21" customFormat="1" ht="15.75" customHeight="1">
      <c r="A9" s="102" t="s">
        <v>139</v>
      </c>
      <c r="B9" s="667">
        <v>194.69</v>
      </c>
      <c r="C9" s="668">
        <v>728.26</v>
      </c>
      <c r="D9" s="668">
        <v>705.74</v>
      </c>
      <c r="E9" s="668">
        <v>164.42</v>
      </c>
      <c r="F9" s="667">
        <v>217.2</v>
      </c>
      <c r="G9" s="71">
        <v>0.30776206534984551</v>
      </c>
      <c r="H9" s="184"/>
      <c r="I9" s="178"/>
      <c r="J9" s="178"/>
      <c r="K9" s="178"/>
      <c r="L9" s="178"/>
      <c r="M9" s="178"/>
      <c r="N9" s="178"/>
      <c r="O9" s="178"/>
      <c r="P9" s="178"/>
      <c r="Q9" s="178"/>
      <c r="R9" s="178"/>
    </row>
    <row r="10" spans="1:18" s="21" customFormat="1" ht="15.75" customHeight="1">
      <c r="A10" s="102" t="s">
        <v>360</v>
      </c>
      <c r="B10" s="667">
        <v>218.69</v>
      </c>
      <c r="C10" s="668">
        <v>735.21</v>
      </c>
      <c r="D10" s="668">
        <v>711.16</v>
      </c>
      <c r="E10" s="668">
        <v>172.84</v>
      </c>
      <c r="F10" s="667">
        <v>242.74</v>
      </c>
      <c r="G10" s="71">
        <v>0.34132965858597225</v>
      </c>
      <c r="H10" s="184"/>
      <c r="I10" s="178"/>
      <c r="J10" s="178"/>
      <c r="K10" s="178"/>
      <c r="L10" s="178"/>
      <c r="M10" s="178"/>
      <c r="N10" s="178"/>
      <c r="O10" s="178"/>
      <c r="P10" s="178"/>
      <c r="Q10" s="178"/>
      <c r="R10" s="178"/>
    </row>
    <row r="11" spans="1:18" s="21" customFormat="1" ht="15.75" customHeight="1">
      <c r="A11" s="39" t="s">
        <v>446</v>
      </c>
      <c r="B11" s="666">
        <v>245</v>
      </c>
      <c r="C11" s="666">
        <v>756.4</v>
      </c>
      <c r="D11" s="666">
        <v>739.09</v>
      </c>
      <c r="E11" s="666">
        <v>183.36</v>
      </c>
      <c r="F11" s="666">
        <v>262.08</v>
      </c>
      <c r="G11" s="71">
        <v>0.34132965858597225</v>
      </c>
      <c r="H11" s="184"/>
      <c r="I11" s="178"/>
      <c r="J11" s="178"/>
      <c r="K11" s="178"/>
      <c r="L11" s="178"/>
      <c r="M11" s="178"/>
      <c r="N11" s="178"/>
      <c r="O11" s="178"/>
      <c r="P11" s="178"/>
      <c r="Q11" s="178"/>
      <c r="R11" s="178"/>
    </row>
    <row r="12" spans="1:18" s="104" customFormat="1" ht="15.75" customHeight="1">
      <c r="A12" s="485" t="s">
        <v>481</v>
      </c>
      <c r="B12" s="666">
        <v>262.79000000000002</v>
      </c>
      <c r="C12" s="666">
        <v>762.88</v>
      </c>
      <c r="D12" s="666">
        <v>741.98</v>
      </c>
      <c r="E12" s="666">
        <v>182.47</v>
      </c>
      <c r="F12" s="666">
        <v>283.69</v>
      </c>
      <c r="G12" s="71">
        <v>0.34132965858597225</v>
      </c>
      <c r="H12" s="184"/>
      <c r="I12" s="178"/>
      <c r="J12" s="178"/>
      <c r="K12" s="178"/>
      <c r="L12" s="178"/>
      <c r="M12" s="178"/>
      <c r="N12" s="178"/>
      <c r="O12" s="178"/>
      <c r="P12" s="178"/>
      <c r="Q12" s="178"/>
      <c r="R12" s="178"/>
    </row>
    <row r="13" spans="1:18" s="21" customFormat="1" ht="15.75" customHeight="1">
      <c r="A13" s="653" t="s">
        <v>474</v>
      </c>
      <c r="B13" s="857">
        <v>286.98</v>
      </c>
      <c r="C13" s="857">
        <v>731</v>
      </c>
      <c r="D13" s="857">
        <v>734.7</v>
      </c>
      <c r="E13" s="857">
        <v>173.67</v>
      </c>
      <c r="F13" s="857">
        <v>283.27999999999997</v>
      </c>
      <c r="G13" s="858">
        <v>0.34132965858597225</v>
      </c>
      <c r="H13" s="184"/>
      <c r="J13" s="178"/>
      <c r="K13" s="178"/>
      <c r="L13" s="178"/>
      <c r="M13" s="178"/>
      <c r="N13" s="178"/>
      <c r="O13" s="178"/>
      <c r="P13" s="178"/>
      <c r="Q13" s="178"/>
      <c r="R13" s="178"/>
    </row>
    <row r="14" spans="1:18" s="21" customFormat="1" ht="15.75" customHeight="1">
      <c r="A14" s="653" t="s">
        <v>545</v>
      </c>
      <c r="B14" s="857">
        <v>283.27999999999997</v>
      </c>
      <c r="C14" s="857">
        <v>763.92</v>
      </c>
      <c r="D14" s="857">
        <v>746.9</v>
      </c>
      <c r="E14" s="857">
        <v>191.52</v>
      </c>
      <c r="F14" s="857">
        <v>300.29000000000002</v>
      </c>
      <c r="G14" s="858">
        <f>F14/D14</f>
        <v>0.40204846699692065</v>
      </c>
      <c r="H14" s="184"/>
      <c r="J14" s="237"/>
      <c r="K14" s="178"/>
      <c r="L14" s="178"/>
      <c r="M14" s="178"/>
      <c r="N14" s="178"/>
      <c r="O14" s="178"/>
      <c r="P14" s="178"/>
      <c r="Q14" s="178"/>
      <c r="R14" s="178"/>
    </row>
    <row r="15" spans="1:18" s="21" customFormat="1" ht="15.75" customHeight="1">
      <c r="A15" s="659" t="s">
        <v>544</v>
      </c>
      <c r="B15" s="857">
        <v>300.29000000000002</v>
      </c>
      <c r="C15" s="857">
        <v>776.78</v>
      </c>
      <c r="D15" s="857">
        <v>775.89</v>
      </c>
      <c r="E15" s="857">
        <v>197.69</v>
      </c>
      <c r="F15" s="857">
        <v>301.19</v>
      </c>
      <c r="G15" s="858">
        <f>F15/D15</f>
        <v>0.38818646973153409</v>
      </c>
      <c r="H15" s="184"/>
      <c r="I15" s="18"/>
      <c r="J15" s="237"/>
      <c r="K15" s="178"/>
      <c r="L15" s="178"/>
      <c r="M15" s="178"/>
      <c r="N15" s="178"/>
      <c r="O15" s="178"/>
      <c r="P15" s="178"/>
      <c r="Q15" s="178"/>
      <c r="R15" s="178"/>
    </row>
    <row r="16" spans="1:18" s="21" customFormat="1" ht="15" customHeight="1">
      <c r="A16" s="1103" t="s">
        <v>168</v>
      </c>
      <c r="B16" s="1103"/>
      <c r="C16" s="1103"/>
      <c r="D16" s="1103"/>
      <c r="E16" s="1103"/>
      <c r="F16" s="1103"/>
      <c r="G16" s="1103"/>
      <c r="I16" s="178"/>
      <c r="J16" s="178"/>
      <c r="K16" s="178"/>
      <c r="L16" s="178"/>
      <c r="M16" s="178"/>
      <c r="N16" s="178"/>
      <c r="O16" s="178"/>
      <c r="P16" s="178"/>
      <c r="Q16" s="178"/>
      <c r="R16" s="178"/>
    </row>
    <row r="17" spans="1:18" s="21" customFormat="1" ht="9.9499999999999993" customHeight="1">
      <c r="A17" s="595"/>
      <c r="B17" s="805"/>
      <c r="C17" s="805"/>
      <c r="D17" s="805"/>
      <c r="E17" s="805"/>
      <c r="F17" s="805"/>
      <c r="G17" s="595"/>
      <c r="I17" s="178"/>
      <c r="J17" s="178"/>
      <c r="K17" s="178"/>
      <c r="L17" s="178"/>
      <c r="M17" s="178"/>
      <c r="N17" s="178"/>
      <c r="O17" s="178"/>
      <c r="P17" s="178"/>
      <c r="Q17" s="178"/>
      <c r="R17" s="178"/>
    </row>
    <row r="18" spans="1:18">
      <c r="C18" s="339"/>
    </row>
    <row r="19" spans="1:18" ht="15" customHeight="1">
      <c r="H19" s="177"/>
    </row>
    <row r="20" spans="1:18" ht="9.75" customHeight="1">
      <c r="H20" s="479"/>
      <c r="I20" s="479"/>
      <c r="J20" s="479"/>
      <c r="K20" s="479"/>
      <c r="L20" s="479"/>
      <c r="M20" s="479"/>
      <c r="N20" s="479"/>
      <c r="O20" s="479"/>
      <c r="P20" s="479"/>
      <c r="Q20" s="479"/>
    </row>
    <row r="21" spans="1:18" ht="15" customHeight="1">
      <c r="H21" s="479"/>
      <c r="I21" s="479"/>
      <c r="J21" s="479"/>
      <c r="K21" s="479"/>
      <c r="L21" s="479"/>
      <c r="M21" s="479"/>
      <c r="N21" s="479"/>
      <c r="O21" s="479"/>
      <c r="P21" s="479"/>
      <c r="Q21" s="479"/>
    </row>
    <row r="22" spans="1:18" ht="15" customHeight="1">
      <c r="H22" s="479"/>
      <c r="I22" s="479"/>
      <c r="J22" s="479"/>
      <c r="K22" s="479"/>
      <c r="L22" s="479"/>
      <c r="M22" s="479"/>
      <c r="N22" s="479"/>
      <c r="O22" s="479"/>
      <c r="P22" s="479"/>
      <c r="Q22" s="479"/>
    </row>
    <row r="23" spans="1:18" ht="15" customHeight="1">
      <c r="H23" s="479"/>
      <c r="I23" s="479"/>
      <c r="J23" s="479"/>
      <c r="K23" s="479"/>
      <c r="L23" s="479"/>
      <c r="M23" s="479"/>
      <c r="N23" s="479"/>
      <c r="O23" s="479"/>
      <c r="P23" s="479"/>
      <c r="Q23" s="479"/>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79"/>
    </row>
    <row r="31" spans="1:18" ht="15" customHeight="1">
      <c r="H31" s="179"/>
    </row>
    <row r="32" spans="1:18" ht="15" customHeight="1">
      <c r="H32" s="179"/>
    </row>
    <row r="33" spans="1:8" ht="15" customHeight="1">
      <c r="H33" s="180"/>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39"/>
      <c r="D41" s="339"/>
      <c r="E41" s="339"/>
      <c r="F41" s="339"/>
    </row>
    <row r="42" spans="1:8" ht="18">
      <c r="C42" s="18"/>
      <c r="D42" s="18"/>
      <c r="E42" s="18"/>
      <c r="F42" s="18"/>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zoomScaleNormal="100" workbookViewId="0">
      <selection activeCell="C6" sqref="C6"/>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03"/>
      <c r="C1" s="403"/>
      <c r="D1" s="403"/>
      <c r="E1" s="403"/>
      <c r="F1" s="403"/>
      <c r="G1" s="403"/>
      <c r="H1" s="403"/>
      <c r="I1" s="403"/>
      <c r="J1" s="403"/>
      <c r="K1" s="403"/>
      <c r="L1" s="403"/>
      <c r="M1" s="403"/>
      <c r="N1" s="403"/>
    </row>
    <row r="2" spans="2:24">
      <c r="B2" s="1107" t="s">
        <v>2</v>
      </c>
      <c r="C2" s="1107"/>
      <c r="D2" s="1107"/>
      <c r="E2" s="1107"/>
      <c r="F2" s="1107"/>
      <c r="G2" s="1107"/>
      <c r="H2" s="1107"/>
      <c r="I2" s="1107"/>
      <c r="J2" s="1107"/>
      <c r="K2" s="1107"/>
      <c r="L2" s="1107"/>
      <c r="M2" s="1107"/>
      <c r="N2" s="1107"/>
      <c r="O2" s="1107"/>
    </row>
    <row r="3" spans="2:24" ht="18" customHeight="1">
      <c r="B3" s="1108" t="s">
        <v>432</v>
      </c>
      <c r="C3" s="1108"/>
      <c r="D3" s="1108"/>
      <c r="E3" s="1108"/>
      <c r="F3" s="1108"/>
      <c r="G3" s="1108"/>
      <c r="H3" s="1108"/>
      <c r="I3" s="1108"/>
      <c r="J3" s="1108"/>
      <c r="K3" s="1108"/>
      <c r="L3" s="1108"/>
      <c r="M3" s="1108"/>
      <c r="N3" s="1108"/>
      <c r="O3" s="1108"/>
    </row>
    <row r="4" spans="2:24" ht="18" customHeight="1">
      <c r="B4" s="1109" t="s">
        <v>733</v>
      </c>
      <c r="C4" s="1109"/>
      <c r="D4" s="1109"/>
      <c r="E4" s="1109"/>
      <c r="F4" s="1109"/>
      <c r="G4" s="1109"/>
      <c r="H4" s="1109"/>
      <c r="I4" s="1109"/>
      <c r="J4" s="1109"/>
      <c r="K4" s="1109"/>
      <c r="L4" s="1109"/>
      <c r="M4" s="1109"/>
      <c r="N4" s="1109"/>
      <c r="O4" s="1109"/>
    </row>
    <row r="5" spans="2:24">
      <c r="B5" s="1264"/>
      <c r="C5" s="1264"/>
      <c r="D5" s="1264"/>
      <c r="E5" s="1264"/>
      <c r="F5" s="1264"/>
      <c r="G5" s="1264"/>
      <c r="H5" s="1264"/>
      <c r="I5" s="1264"/>
      <c r="J5" s="728"/>
      <c r="K5" s="403"/>
      <c r="L5" s="403"/>
      <c r="M5" s="403"/>
      <c r="N5" s="403"/>
    </row>
    <row r="6" spans="2:24" ht="58.5" customHeight="1">
      <c r="B6" s="657" t="s">
        <v>5</v>
      </c>
      <c r="C6" s="658" t="s">
        <v>71</v>
      </c>
      <c r="D6" s="658" t="s">
        <v>9</v>
      </c>
      <c r="E6" s="658" t="s">
        <v>199</v>
      </c>
      <c r="F6" s="658" t="s">
        <v>305</v>
      </c>
      <c r="G6" s="658" t="s">
        <v>200</v>
      </c>
      <c r="H6" s="658" t="s">
        <v>306</v>
      </c>
      <c r="I6" s="658" t="s">
        <v>307</v>
      </c>
      <c r="J6" s="658" t="s">
        <v>308</v>
      </c>
      <c r="K6" s="658" t="s">
        <v>89</v>
      </c>
      <c r="L6" s="658" t="s">
        <v>309</v>
      </c>
      <c r="M6" s="658" t="s">
        <v>310</v>
      </c>
      <c r="N6" s="658" t="s">
        <v>126</v>
      </c>
      <c r="O6" s="658" t="s">
        <v>482</v>
      </c>
    </row>
    <row r="7" spans="2:24" ht="21.75" customHeight="1">
      <c r="B7" s="1333" t="s">
        <v>587</v>
      </c>
      <c r="C7" s="1333"/>
      <c r="D7" s="1333"/>
      <c r="E7" s="1333"/>
      <c r="F7" s="1333"/>
      <c r="G7" s="1333"/>
      <c r="H7" s="1333"/>
      <c r="I7" s="1333"/>
      <c r="J7" s="1333"/>
      <c r="K7" s="1333"/>
      <c r="L7" s="1333"/>
      <c r="M7" s="1333"/>
      <c r="N7" s="1333"/>
      <c r="O7" s="1333"/>
    </row>
    <row r="8" spans="2:24">
      <c r="B8" s="619" t="s">
        <v>127</v>
      </c>
      <c r="C8" s="865">
        <v>176.73</v>
      </c>
      <c r="D8" s="865">
        <v>0.184</v>
      </c>
      <c r="E8" s="865">
        <v>0.25</v>
      </c>
      <c r="F8" s="865">
        <v>1.07</v>
      </c>
      <c r="G8" s="865">
        <v>0.154</v>
      </c>
      <c r="H8" s="865">
        <v>29.5</v>
      </c>
      <c r="I8" s="865">
        <v>0.93</v>
      </c>
      <c r="J8" s="865">
        <v>4.08</v>
      </c>
      <c r="K8" s="865">
        <v>1.42</v>
      </c>
      <c r="L8" s="865">
        <v>4.5999999999999999E-2</v>
      </c>
      <c r="M8" s="865">
        <v>1.1000000000000001</v>
      </c>
      <c r="N8" s="865">
        <v>115</v>
      </c>
      <c r="O8" s="865">
        <v>61.73</v>
      </c>
    </row>
    <row r="9" spans="2:24">
      <c r="B9" s="620" t="s">
        <v>6</v>
      </c>
      <c r="C9" s="865">
        <v>497.71</v>
      </c>
      <c r="D9" s="865">
        <v>0.79500000000000004</v>
      </c>
      <c r="E9" s="865">
        <v>7.6</v>
      </c>
      <c r="F9" s="865">
        <v>12.7</v>
      </c>
      <c r="G9" s="865">
        <v>0.79</v>
      </c>
      <c r="H9" s="865">
        <v>118.87</v>
      </c>
      <c r="I9" s="865">
        <v>7.2</v>
      </c>
      <c r="J9" s="865">
        <v>17.66</v>
      </c>
      <c r="K9" s="865">
        <v>5.88</v>
      </c>
      <c r="L9" s="865">
        <v>0.84599999999999997</v>
      </c>
      <c r="M9" s="865">
        <v>27.1</v>
      </c>
      <c r="N9" s="865">
        <v>146.72999999999999</v>
      </c>
      <c r="O9" s="865">
        <v>350.98</v>
      </c>
    </row>
    <row r="10" spans="2:24">
      <c r="B10" s="620" t="s">
        <v>123</v>
      </c>
      <c r="C10" s="865">
        <v>42.54</v>
      </c>
      <c r="D10" s="865">
        <v>8.9999999999999993E-3</v>
      </c>
      <c r="E10" s="865">
        <v>0.95</v>
      </c>
      <c r="F10" s="865">
        <v>0.01</v>
      </c>
      <c r="G10" s="865">
        <v>1E-3</v>
      </c>
      <c r="H10" s="865">
        <v>0</v>
      </c>
      <c r="I10" s="865">
        <v>0</v>
      </c>
      <c r="J10" s="865">
        <v>0.25</v>
      </c>
      <c r="K10" s="865">
        <v>1.19</v>
      </c>
      <c r="L10" s="865">
        <v>0</v>
      </c>
      <c r="M10" s="865">
        <v>0.4</v>
      </c>
      <c r="N10" s="865">
        <v>2.6</v>
      </c>
      <c r="O10" s="865">
        <v>39.94</v>
      </c>
    </row>
    <row r="11" spans="2:24">
      <c r="B11" s="620" t="s">
        <v>13</v>
      </c>
      <c r="C11" s="865">
        <v>496.33</v>
      </c>
      <c r="D11" s="865">
        <v>0.52</v>
      </c>
      <c r="E11" s="865">
        <v>7.4</v>
      </c>
      <c r="F11" s="865">
        <v>10.35</v>
      </c>
      <c r="G11" s="865">
        <v>0.06</v>
      </c>
      <c r="H11" s="865">
        <v>105.98</v>
      </c>
      <c r="I11" s="865">
        <v>3.28</v>
      </c>
      <c r="J11" s="865">
        <v>12.3</v>
      </c>
      <c r="K11" s="865">
        <v>4.59</v>
      </c>
      <c r="L11" s="865">
        <v>0.04</v>
      </c>
      <c r="M11" s="865">
        <v>21.25</v>
      </c>
      <c r="N11" s="865">
        <v>145.22999999999999</v>
      </c>
      <c r="O11" s="865">
        <v>351.1</v>
      </c>
    </row>
    <row r="12" spans="2:24">
      <c r="B12" s="620" t="s">
        <v>110</v>
      </c>
      <c r="C12" s="865">
        <v>42.96</v>
      </c>
      <c r="D12" s="865">
        <v>0.33500000000000002</v>
      </c>
      <c r="E12" s="865">
        <v>1.1299999999999999</v>
      </c>
      <c r="F12" s="865">
        <v>2.2999999999999998</v>
      </c>
      <c r="G12" s="865">
        <v>0.80300000000000005</v>
      </c>
      <c r="H12" s="865">
        <v>12.49</v>
      </c>
      <c r="I12" s="865">
        <v>3.82</v>
      </c>
      <c r="J12" s="865">
        <v>5.71</v>
      </c>
      <c r="K12" s="865">
        <v>2.99</v>
      </c>
      <c r="L12" s="865">
        <v>0.96</v>
      </c>
      <c r="M12" s="865">
        <v>6.17</v>
      </c>
      <c r="N12" s="865">
        <v>2.6</v>
      </c>
      <c r="O12" s="865">
        <v>40.36</v>
      </c>
    </row>
    <row r="13" spans="2:24">
      <c r="B13" s="995" t="s">
        <v>129</v>
      </c>
      <c r="C13" s="865">
        <v>178.12</v>
      </c>
      <c r="D13" s="865">
        <v>0.14799999999999999</v>
      </c>
      <c r="E13" s="865">
        <v>0.27</v>
      </c>
      <c r="F13" s="865">
        <v>1.1299999999999999</v>
      </c>
      <c r="G13" s="865">
        <v>8.3000000000000004E-2</v>
      </c>
      <c r="H13" s="865">
        <v>29.9</v>
      </c>
      <c r="I13" s="865">
        <v>1.03</v>
      </c>
      <c r="J13" s="865">
        <v>3.98</v>
      </c>
      <c r="K13" s="865">
        <v>0.91</v>
      </c>
      <c r="L13" s="865">
        <v>1.2E-2</v>
      </c>
      <c r="M13" s="865">
        <v>1.18</v>
      </c>
      <c r="N13" s="865">
        <v>116.5</v>
      </c>
      <c r="O13" s="865">
        <v>61.62</v>
      </c>
      <c r="P13" s="271"/>
      <c r="Q13" s="271"/>
      <c r="R13" s="271"/>
      <c r="S13" s="271"/>
      <c r="T13" s="271"/>
      <c r="U13" s="271"/>
      <c r="V13" s="271"/>
      <c r="W13" s="271"/>
      <c r="X13" s="271"/>
    </row>
    <row r="14" spans="2:24" ht="18" customHeight="1">
      <c r="B14" s="1334" t="s">
        <v>588</v>
      </c>
      <c r="C14" s="1334"/>
      <c r="D14" s="1334"/>
      <c r="E14" s="1334"/>
      <c r="F14" s="1334"/>
      <c r="G14" s="1334"/>
      <c r="H14" s="1334"/>
      <c r="I14" s="1334"/>
      <c r="J14" s="1334"/>
      <c r="K14" s="1334"/>
      <c r="L14" s="1334"/>
      <c r="M14" s="1334"/>
      <c r="N14" s="1334"/>
      <c r="O14" s="1334"/>
    </row>
    <row r="15" spans="2:24">
      <c r="B15" s="996" t="s">
        <v>127</v>
      </c>
      <c r="C15" s="755">
        <v>178.12</v>
      </c>
      <c r="D15" s="755">
        <v>0.14799999999999999</v>
      </c>
      <c r="E15" s="755">
        <v>0.27</v>
      </c>
      <c r="F15" s="755">
        <v>1.1299999999999999</v>
      </c>
      <c r="G15" s="755">
        <v>8.3000000000000004E-2</v>
      </c>
      <c r="H15" s="755">
        <v>29.9</v>
      </c>
      <c r="I15" s="755">
        <v>1.03</v>
      </c>
      <c r="J15" s="755">
        <v>3.98</v>
      </c>
      <c r="K15" s="755">
        <v>0.91</v>
      </c>
      <c r="L15" s="755">
        <v>1.2E-2</v>
      </c>
      <c r="M15" s="755">
        <v>1.18</v>
      </c>
      <c r="N15" s="755">
        <v>116.5</v>
      </c>
      <c r="O15" s="755">
        <v>61.62</v>
      </c>
    </row>
    <row r="16" spans="2:24">
      <c r="B16" s="621" t="s">
        <v>6</v>
      </c>
      <c r="C16" s="755">
        <v>504.41</v>
      </c>
      <c r="D16" s="755">
        <v>0.77500000000000002</v>
      </c>
      <c r="E16" s="755">
        <v>7.48</v>
      </c>
      <c r="F16" s="755">
        <v>13</v>
      </c>
      <c r="G16" s="755" t="s">
        <v>734</v>
      </c>
      <c r="H16" s="755">
        <v>121</v>
      </c>
      <c r="I16" s="755">
        <v>7.6</v>
      </c>
      <c r="J16" s="755">
        <v>18.600000000000001</v>
      </c>
      <c r="K16" s="755">
        <v>7.23</v>
      </c>
      <c r="L16" s="755">
        <v>0.879</v>
      </c>
      <c r="M16" s="755">
        <v>27.1</v>
      </c>
      <c r="N16" s="755">
        <v>148.30000000000001</v>
      </c>
      <c r="O16" s="755">
        <v>356.11</v>
      </c>
      <c r="Q16" s="784"/>
    </row>
    <row r="17" spans="2:24">
      <c r="B17" s="621" t="s">
        <v>123</v>
      </c>
      <c r="C17" s="755">
        <v>43.97</v>
      </c>
      <c r="D17" s="755">
        <v>7.0000000000000001E-3</v>
      </c>
      <c r="E17" s="755">
        <v>0.85</v>
      </c>
      <c r="F17" s="755">
        <v>0.01</v>
      </c>
      <c r="G17" s="755">
        <v>2E-3</v>
      </c>
      <c r="H17" s="755">
        <v>0</v>
      </c>
      <c r="I17" s="755">
        <v>0</v>
      </c>
      <c r="J17" s="755">
        <v>0.2</v>
      </c>
      <c r="K17" s="755">
        <v>1.1499999999999999</v>
      </c>
      <c r="L17" s="755">
        <v>0</v>
      </c>
      <c r="M17" s="755">
        <v>0.5</v>
      </c>
      <c r="N17" s="755">
        <v>3</v>
      </c>
      <c r="O17" s="755">
        <v>40.97</v>
      </c>
    </row>
    <row r="18" spans="2:24">
      <c r="B18" s="621" t="s">
        <v>13</v>
      </c>
      <c r="C18" s="755">
        <v>504.69</v>
      </c>
      <c r="D18" s="755">
        <v>0.51</v>
      </c>
      <c r="E18" s="755">
        <v>7.35</v>
      </c>
      <c r="F18" s="755">
        <v>10.5</v>
      </c>
      <c r="G18" s="755">
        <v>6.5000000000000002E-2</v>
      </c>
      <c r="H18" s="755">
        <v>106.5</v>
      </c>
      <c r="I18" s="755">
        <v>3.3</v>
      </c>
      <c r="J18" s="755">
        <v>12.4</v>
      </c>
      <c r="K18" s="755">
        <v>5.08</v>
      </c>
      <c r="L18" s="755">
        <v>4.4999999999999998E-2</v>
      </c>
      <c r="M18" s="755">
        <v>21.25</v>
      </c>
      <c r="N18" s="755">
        <v>149</v>
      </c>
      <c r="O18" s="755">
        <v>355.69</v>
      </c>
    </row>
    <row r="19" spans="2:24">
      <c r="B19" s="621" t="s">
        <v>110</v>
      </c>
      <c r="C19" s="755">
        <v>46.25</v>
      </c>
      <c r="D19" s="755">
        <v>0.3</v>
      </c>
      <c r="E19" s="755">
        <v>0.8</v>
      </c>
      <c r="F19" s="755">
        <v>2.4</v>
      </c>
      <c r="G19" s="755">
        <v>0.62</v>
      </c>
      <c r="H19" s="755">
        <v>15.5</v>
      </c>
      <c r="I19" s="755">
        <v>4.0999999999999996</v>
      </c>
      <c r="J19" s="755">
        <v>6.1</v>
      </c>
      <c r="K19" s="755">
        <v>2.95</v>
      </c>
      <c r="L19" s="755">
        <v>0.82</v>
      </c>
      <c r="M19" s="755">
        <v>6.4</v>
      </c>
      <c r="N19" s="755">
        <v>2.4</v>
      </c>
      <c r="O19" s="755">
        <v>43.85</v>
      </c>
    </row>
    <row r="20" spans="2:24">
      <c r="B20" s="621" t="s">
        <v>129</v>
      </c>
      <c r="C20" s="755">
        <v>177.83</v>
      </c>
      <c r="D20" s="755">
        <v>0.12</v>
      </c>
      <c r="E20" s="755">
        <v>0.45</v>
      </c>
      <c r="F20" s="755">
        <v>1.24</v>
      </c>
      <c r="G20" s="755">
        <v>7.0000000000000007E-2</v>
      </c>
      <c r="H20" s="755">
        <v>28.9</v>
      </c>
      <c r="I20" s="755">
        <v>1.23</v>
      </c>
      <c r="J20" s="755">
        <v>4.28</v>
      </c>
      <c r="K20" s="755">
        <v>1.25</v>
      </c>
      <c r="L20" s="755">
        <v>4.5999999999999999E-2</v>
      </c>
      <c r="M20" s="755">
        <v>1.1299999999999999</v>
      </c>
      <c r="N20" s="755">
        <v>116.4</v>
      </c>
      <c r="O20" s="755">
        <v>61.43</v>
      </c>
      <c r="P20" s="271"/>
      <c r="Q20" s="806"/>
      <c r="R20" s="271"/>
      <c r="S20" s="271"/>
      <c r="T20" s="271"/>
      <c r="U20" s="271"/>
      <c r="V20" s="271"/>
      <c r="W20" s="271"/>
      <c r="X20" s="271"/>
    </row>
    <row r="21" spans="2:24">
      <c r="B21" s="1332" t="s">
        <v>354</v>
      </c>
      <c r="C21" s="1332"/>
      <c r="D21" s="1332"/>
      <c r="E21" s="1332"/>
      <c r="F21" s="1332"/>
      <c r="G21" s="1332"/>
      <c r="H21" s="1332"/>
      <c r="I21" s="1332"/>
      <c r="J21" s="1332"/>
      <c r="K21" s="1332"/>
      <c r="L21" s="1332"/>
      <c r="M21" s="1332"/>
      <c r="N21" s="1332"/>
      <c r="O21" s="1332"/>
    </row>
    <row r="22" spans="2:24">
      <c r="B22" s="642"/>
      <c r="C22" s="642"/>
      <c r="D22" s="642"/>
      <c r="E22" s="642"/>
      <c r="F22" s="642"/>
      <c r="G22" s="642"/>
      <c r="H22" s="642"/>
      <c r="I22" s="642"/>
      <c r="J22" s="642"/>
      <c r="K22" s="642"/>
      <c r="L22" s="642"/>
      <c r="M22" s="271"/>
      <c r="N22" s="271"/>
      <c r="O22" s="271"/>
    </row>
    <row r="23" spans="2:24">
      <c r="B23" s="271"/>
      <c r="C23" s="271"/>
      <c r="D23" s="271"/>
      <c r="E23" s="271"/>
      <c r="F23" s="271"/>
      <c r="G23" s="271"/>
      <c r="H23" s="271"/>
      <c r="I23" s="271"/>
      <c r="J23" s="271"/>
      <c r="K23" s="271"/>
      <c r="L23" s="271"/>
      <c r="M23" s="271"/>
      <c r="N23" s="271"/>
      <c r="O23" s="271"/>
    </row>
    <row r="24" spans="2:24">
      <c r="B24" s="271"/>
      <c r="C24" s="18"/>
      <c r="D24" s="271"/>
      <c r="E24" s="271"/>
      <c r="F24" s="271"/>
      <c r="G24" s="271"/>
      <c r="H24" s="271"/>
      <c r="I24" s="271"/>
      <c r="J24" s="271"/>
      <c r="K24" s="271"/>
      <c r="L24" s="271"/>
      <c r="M24" s="271"/>
      <c r="N24" s="271"/>
      <c r="O24" s="271"/>
    </row>
    <row r="25" spans="2:24">
      <c r="B25" s="271"/>
      <c r="C25" s="625"/>
      <c r="D25" s="271"/>
      <c r="E25" s="271"/>
      <c r="F25" s="271"/>
      <c r="G25" s="271"/>
      <c r="H25" s="271"/>
      <c r="I25" s="271"/>
      <c r="J25" s="271"/>
      <c r="K25" s="271"/>
      <c r="L25" s="271"/>
      <c r="M25" s="271"/>
      <c r="N25" s="271"/>
      <c r="O25" s="271"/>
    </row>
    <row r="26" spans="2:24">
      <c r="B26" s="271"/>
      <c r="C26" s="271"/>
      <c r="D26" s="271"/>
      <c r="E26" s="271"/>
      <c r="F26" s="271"/>
      <c r="G26" s="271"/>
      <c r="H26" s="271"/>
      <c r="I26" s="271"/>
      <c r="J26" s="271"/>
      <c r="K26" s="271"/>
      <c r="L26" s="271"/>
      <c r="M26" s="271"/>
      <c r="N26" s="271"/>
      <c r="O26" s="271"/>
    </row>
    <row r="27" spans="2:24">
      <c r="B27" s="271"/>
      <c r="C27" s="271"/>
      <c r="D27" s="271"/>
      <c r="E27" s="271"/>
      <c r="F27" s="271"/>
      <c r="G27" s="271"/>
      <c r="H27" s="271"/>
      <c r="I27" s="271"/>
      <c r="J27" s="271"/>
      <c r="K27" s="271"/>
      <c r="L27" s="271"/>
      <c r="M27" s="271"/>
      <c r="N27" s="271"/>
      <c r="O27" s="482"/>
    </row>
    <row r="28" spans="2:24">
      <c r="B28" s="271"/>
      <c r="C28" s="271"/>
      <c r="D28" s="271"/>
      <c r="E28" s="271"/>
      <c r="F28" s="271"/>
      <c r="G28" s="271"/>
      <c r="H28" s="271"/>
      <c r="I28" s="271"/>
      <c r="J28" s="271"/>
      <c r="K28" s="271"/>
      <c r="L28" s="271"/>
      <c r="M28" s="271"/>
      <c r="N28" s="271"/>
      <c r="O28" s="271"/>
    </row>
    <row r="29" spans="2:24">
      <c r="B29" s="271"/>
      <c r="C29" s="271"/>
      <c r="D29" s="271"/>
      <c r="E29" s="271"/>
      <c r="F29" s="271"/>
      <c r="G29" s="271"/>
      <c r="H29" s="271"/>
      <c r="I29" s="271"/>
      <c r="J29" s="271"/>
      <c r="K29" s="271"/>
      <c r="L29" s="271"/>
      <c r="M29" s="271"/>
      <c r="N29" s="271"/>
      <c r="O29" s="271"/>
    </row>
    <row r="30" spans="2:24">
      <c r="B30" s="271"/>
      <c r="C30" s="271"/>
      <c r="D30" s="271"/>
      <c r="E30" s="271"/>
      <c r="F30" s="271"/>
      <c r="G30" s="271"/>
      <c r="H30" s="271"/>
      <c r="I30" s="271"/>
      <c r="J30" s="271"/>
      <c r="K30" s="271"/>
      <c r="L30" s="271"/>
      <c r="M30" s="271"/>
      <c r="N30" s="271"/>
      <c r="O30" s="271"/>
    </row>
    <row r="31" spans="2:24">
      <c r="B31" s="271"/>
      <c r="C31" s="271"/>
      <c r="D31" s="271"/>
      <c r="E31" s="271"/>
      <c r="F31" s="271"/>
      <c r="G31" s="271"/>
      <c r="H31" s="271"/>
      <c r="I31" s="271"/>
      <c r="J31" s="271"/>
      <c r="K31" s="271"/>
      <c r="L31" s="271"/>
      <c r="M31" s="271"/>
      <c r="N31" s="271"/>
      <c r="O31" s="271"/>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pageSetUpPr fitToPage="1"/>
  </sheetPr>
  <dimension ref="B1:O19"/>
  <sheetViews>
    <sheetView zoomScaleNormal="100" workbookViewId="0">
      <selection activeCell="I28" sqref="I28"/>
    </sheetView>
  </sheetViews>
  <sheetFormatPr baseColWidth="10" defaultColWidth="10.90625" defaultRowHeight="12.75"/>
  <cols>
    <col min="1" max="1" width="0.90625" style="70" customWidth="1"/>
    <col min="2" max="5" width="13.453125" style="70" customWidth="1"/>
    <col min="6" max="6" width="2.6328125" style="70" customWidth="1"/>
    <col min="7" max="7" width="6.7265625" style="70" customWidth="1"/>
    <col min="8" max="8" width="7" style="70" customWidth="1"/>
    <col min="9" max="16384" width="10.90625" style="70"/>
  </cols>
  <sheetData>
    <row r="1" spans="2:15" s="29" customFormat="1" ht="15" customHeight="1">
      <c r="B1" s="1107" t="s">
        <v>45</v>
      </c>
      <c r="C1" s="1107"/>
      <c r="D1" s="1107"/>
      <c r="E1" s="1107"/>
    </row>
    <row r="2" spans="2:15" s="29" customFormat="1" ht="15" customHeight="1">
      <c r="B2" s="30"/>
      <c r="C2" s="30"/>
      <c r="D2" s="30"/>
      <c r="E2" s="30"/>
    </row>
    <row r="3" spans="2:15" s="29" customFormat="1" ht="18.600000000000001" customHeight="1">
      <c r="B3" s="1108" t="s">
        <v>433</v>
      </c>
      <c r="C3" s="1108"/>
      <c r="D3" s="1108"/>
      <c r="E3" s="1108"/>
    </row>
    <row r="4" spans="2:15" s="29" customFormat="1" ht="15" customHeight="1">
      <c r="B4" s="1107" t="s">
        <v>688</v>
      </c>
      <c r="C4" s="1107"/>
      <c r="D4" s="1107"/>
      <c r="E4" s="1107"/>
    </row>
    <row r="5" spans="2:15" s="29" customFormat="1" ht="27.75" customHeight="1">
      <c r="B5" s="272" t="s">
        <v>11</v>
      </c>
      <c r="C5" s="273" t="s">
        <v>107</v>
      </c>
      <c r="D5" s="273" t="s">
        <v>109</v>
      </c>
      <c r="E5" s="273" t="s">
        <v>311</v>
      </c>
      <c r="G5" s="395"/>
    </row>
    <row r="6" spans="2:15" s="29" customFormat="1" ht="18" customHeight="1">
      <c r="B6" s="94" t="s">
        <v>66</v>
      </c>
      <c r="C6" s="641">
        <v>23.68</v>
      </c>
      <c r="D6" s="641">
        <v>127.3112</v>
      </c>
      <c r="E6" s="641">
        <f t="shared" ref="E6:E11" si="0">D6/C6*10</f>
        <v>53.763175675675676</v>
      </c>
      <c r="G6" s="396"/>
      <c r="H6" s="396"/>
    </row>
    <row r="7" spans="2:15" s="29" customFormat="1" ht="18" customHeight="1">
      <c r="B7" s="94" t="s">
        <v>67</v>
      </c>
      <c r="C7" s="641">
        <v>24.527000000000001</v>
      </c>
      <c r="D7" s="641">
        <v>94.672499999999999</v>
      </c>
      <c r="E7" s="641">
        <f t="shared" si="0"/>
        <v>38.599298732009622</v>
      </c>
      <c r="G7" s="396"/>
      <c r="H7" s="396"/>
    </row>
    <row r="8" spans="2:15" s="29" customFormat="1" ht="18" customHeight="1">
      <c r="B8" s="94" t="s">
        <v>68</v>
      </c>
      <c r="C8" s="641">
        <v>25.120999999999999</v>
      </c>
      <c r="D8" s="641">
        <v>130.375</v>
      </c>
      <c r="E8" s="641">
        <f t="shared" si="0"/>
        <v>51.898809760757928</v>
      </c>
      <c r="G8" s="396"/>
      <c r="H8" s="396"/>
    </row>
    <row r="9" spans="2:15" s="29" customFormat="1" ht="18" customHeight="1">
      <c r="B9" s="94" t="s">
        <v>63</v>
      </c>
      <c r="C9" s="641">
        <v>23.991</v>
      </c>
      <c r="D9" s="641">
        <v>149.78790000000001</v>
      </c>
      <c r="E9" s="641">
        <f t="shared" si="0"/>
        <v>62.435038139302243</v>
      </c>
      <c r="G9" s="396"/>
      <c r="H9" s="396"/>
      <c r="I9" s="30"/>
    </row>
    <row r="10" spans="2:15" s="29" customFormat="1" ht="18" customHeight="1">
      <c r="B10" s="94" t="s">
        <v>65</v>
      </c>
      <c r="C10" s="641">
        <v>21</v>
      </c>
      <c r="D10" s="641">
        <v>130.3073</v>
      </c>
      <c r="E10" s="641">
        <f t="shared" si="0"/>
        <v>62.051095238095243</v>
      </c>
      <c r="G10" s="397"/>
      <c r="H10" s="397"/>
      <c r="I10" s="174"/>
      <c r="J10" s="297"/>
      <c r="K10" s="297"/>
      <c r="L10" s="297"/>
      <c r="M10" s="297"/>
      <c r="N10" s="297"/>
      <c r="O10" s="297"/>
    </row>
    <row r="11" spans="2:15" ht="18" customHeight="1">
      <c r="B11" s="94" t="s">
        <v>69</v>
      </c>
      <c r="C11" s="641">
        <v>22.398</v>
      </c>
      <c r="D11" s="641">
        <v>134.88432</v>
      </c>
      <c r="E11" s="641">
        <f t="shared" si="0"/>
        <v>60.221591213501206</v>
      </c>
      <c r="F11" s="47"/>
      <c r="G11" s="397"/>
      <c r="H11" s="397"/>
      <c r="I11" s="49"/>
      <c r="J11" s="275"/>
      <c r="K11" s="275"/>
      <c r="L11" s="398"/>
      <c r="M11" s="49"/>
      <c r="N11" s="296"/>
      <c r="O11" s="296"/>
    </row>
    <row r="12" spans="2:15" ht="18" customHeight="1">
      <c r="B12" s="94" t="s">
        <v>108</v>
      </c>
      <c r="C12" s="641">
        <v>23.713999999999999</v>
      </c>
      <c r="D12" s="641">
        <f>C12*E12/10</f>
        <v>163.6266</v>
      </c>
      <c r="E12" s="641">
        <v>69</v>
      </c>
      <c r="F12" s="47"/>
      <c r="G12" s="397"/>
      <c r="H12" s="399"/>
      <c r="I12" s="400"/>
      <c r="J12" s="401"/>
      <c r="K12" s="401"/>
      <c r="L12" s="398"/>
      <c r="M12" s="49"/>
      <c r="N12" s="296"/>
      <c r="O12" s="296"/>
    </row>
    <row r="13" spans="2:15" ht="18" customHeight="1">
      <c r="B13" s="94" t="s">
        <v>158</v>
      </c>
      <c r="C13" s="641">
        <v>26.54</v>
      </c>
      <c r="D13" s="641">
        <v>174.083</v>
      </c>
      <c r="E13" s="641">
        <f>D13/C13*10</f>
        <v>65.592690278824421</v>
      </c>
      <c r="F13" s="47"/>
      <c r="G13" s="397"/>
      <c r="H13" s="397"/>
      <c r="I13" s="49"/>
      <c r="J13" s="275"/>
      <c r="K13" s="275"/>
      <c r="L13" s="398"/>
      <c r="M13" s="49"/>
      <c r="N13" s="296"/>
      <c r="O13" s="296"/>
    </row>
    <row r="14" spans="2:15" ht="18" customHeight="1">
      <c r="B14" s="94" t="s">
        <v>363</v>
      </c>
      <c r="C14" s="641">
        <v>20.937000000000001</v>
      </c>
      <c r="D14" s="641">
        <v>131.27499</v>
      </c>
      <c r="E14" s="641">
        <v>61.1</v>
      </c>
      <c r="F14" s="47"/>
      <c r="G14" s="397"/>
      <c r="H14" s="397"/>
      <c r="I14" s="49"/>
      <c r="J14" s="275"/>
      <c r="K14" s="275"/>
      <c r="L14" s="398"/>
      <c r="M14" s="49"/>
      <c r="N14" s="296"/>
      <c r="O14" s="296"/>
    </row>
    <row r="15" spans="2:15" ht="18" customHeight="1">
      <c r="B15" s="94" t="s">
        <v>449</v>
      </c>
      <c r="C15" s="641">
        <v>29.521999999999998</v>
      </c>
      <c r="D15" s="641">
        <v>192.80799999999999</v>
      </c>
      <c r="E15" s="641">
        <v>65.309938351060225</v>
      </c>
      <c r="F15" s="47"/>
      <c r="G15" s="397"/>
      <c r="H15" s="397"/>
      <c r="I15" s="49"/>
      <c r="J15" s="275"/>
      <c r="K15" s="275"/>
      <c r="L15" s="398"/>
      <c r="M15" s="49"/>
      <c r="N15" s="296"/>
      <c r="O15" s="296"/>
    </row>
    <row r="16" spans="2:15" ht="18" customHeight="1">
      <c r="B16" s="94" t="s">
        <v>474</v>
      </c>
      <c r="C16" s="641">
        <v>26.242000000000001</v>
      </c>
      <c r="D16" s="641">
        <v>174.8972</v>
      </c>
      <c r="E16" s="641">
        <f>D16/C16*10</f>
        <v>66.647816477402642</v>
      </c>
      <c r="F16" s="47"/>
      <c r="G16" s="397"/>
      <c r="H16" s="397"/>
      <c r="I16" s="49"/>
      <c r="J16" s="275"/>
      <c r="K16" s="275"/>
      <c r="L16" s="398"/>
      <c r="M16" s="49"/>
      <c r="N16" s="296"/>
      <c r="O16" s="296"/>
    </row>
    <row r="17" spans="2:15" ht="18" customHeight="1">
      <c r="B17" s="94" t="s">
        <v>492</v>
      </c>
      <c r="C17" s="641">
        <v>26.393999999999998</v>
      </c>
      <c r="D17" s="641">
        <f>C17*E17/10</f>
        <v>169.71341999999999</v>
      </c>
      <c r="E17" s="641">
        <v>64.3</v>
      </c>
      <c r="F17" s="47"/>
      <c r="G17" s="402"/>
      <c r="H17" s="296"/>
      <c r="I17" s="492"/>
      <c r="J17" s="275"/>
      <c r="K17" s="275"/>
      <c r="L17" s="398"/>
      <c r="M17" s="49"/>
      <c r="N17" s="296"/>
      <c r="O17" s="296"/>
    </row>
    <row r="18" spans="2:15" ht="18" customHeight="1">
      <c r="B18" s="896" t="s">
        <v>632</v>
      </c>
      <c r="C18" s="641">
        <v>27.706</v>
      </c>
      <c r="D18" s="641"/>
      <c r="E18" s="640"/>
      <c r="F18" s="47"/>
      <c r="G18" s="402"/>
      <c r="H18" s="296"/>
      <c r="I18" s="492"/>
      <c r="J18" s="275"/>
      <c r="K18" s="275"/>
      <c r="L18" s="398"/>
      <c r="M18" s="49"/>
      <c r="N18" s="296"/>
      <c r="O18" s="296"/>
    </row>
    <row r="19" spans="2:15" ht="41.1" customHeight="1">
      <c r="B19" s="1110" t="s">
        <v>650</v>
      </c>
      <c r="C19" s="1335"/>
      <c r="D19" s="1335"/>
      <c r="E19" s="1335"/>
    </row>
  </sheetData>
  <mergeCells count="4">
    <mergeCell ref="B1:E1"/>
    <mergeCell ref="B3:E3"/>
    <mergeCell ref="B4:E4"/>
    <mergeCell ref="B19:E19"/>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pageSetUpPr fitToPage="1"/>
  </sheetPr>
  <dimension ref="B1:N29"/>
  <sheetViews>
    <sheetView zoomScaleNormal="100" zoomScaleSheetLayoutView="50" workbookViewId="0">
      <selection activeCell="B27" sqref="B27"/>
    </sheetView>
  </sheetViews>
  <sheetFormatPr baseColWidth="10" defaultColWidth="10.90625" defaultRowHeight="12.75"/>
  <cols>
    <col min="1" max="1" width="0.90625" style="70" customWidth="1"/>
    <col min="2" max="2" width="12.54296875" style="70" customWidth="1"/>
    <col min="3" max="6" width="10.90625" style="70" customWidth="1"/>
    <col min="7" max="7" width="1.54296875" style="70" customWidth="1"/>
    <col min="8" max="8" width="6.7265625" style="70" customWidth="1"/>
    <col min="9" max="9" width="7" style="70" customWidth="1"/>
    <col min="10" max="16384" width="10.90625" style="70"/>
  </cols>
  <sheetData>
    <row r="1" spans="2:14" s="29" customFormat="1" ht="15" customHeight="1">
      <c r="B1" s="1107" t="s">
        <v>3</v>
      </c>
      <c r="C1" s="1107"/>
      <c r="D1" s="1107"/>
      <c r="E1" s="1107"/>
      <c r="F1" s="1107"/>
    </row>
    <row r="2" spans="2:14" s="29" customFormat="1" ht="28.5" customHeight="1">
      <c r="B2" s="1108" t="s">
        <v>251</v>
      </c>
      <c r="C2" s="1107"/>
      <c r="D2" s="1107"/>
      <c r="E2" s="1107"/>
      <c r="F2" s="1107"/>
    </row>
    <row r="3" spans="2:14" s="29" customFormat="1" ht="15" customHeight="1">
      <c r="B3" s="1107" t="s">
        <v>633</v>
      </c>
      <c r="C3" s="1107"/>
      <c r="D3" s="1107"/>
      <c r="E3" s="1107"/>
      <c r="F3" s="1107"/>
      <c r="I3" s="297"/>
      <c r="J3" s="297"/>
      <c r="K3" s="297"/>
      <c r="L3" s="297"/>
      <c r="M3" s="297"/>
      <c r="N3" s="297"/>
    </row>
    <row r="4" spans="2:14" s="29" customFormat="1" ht="15" customHeight="1">
      <c r="B4" s="59"/>
      <c r="C4" s="59"/>
      <c r="D4" s="59"/>
      <c r="E4" s="59"/>
      <c r="F4" s="59"/>
      <c r="I4" s="297"/>
      <c r="J4" s="297"/>
      <c r="K4" s="297"/>
      <c r="L4" s="297"/>
      <c r="M4" s="297"/>
      <c r="N4" s="297"/>
    </row>
    <row r="5" spans="2:14" s="29" customFormat="1" ht="46.5" customHeight="1">
      <c r="B5" s="272" t="s">
        <v>11</v>
      </c>
      <c r="C5" s="272" t="s">
        <v>12</v>
      </c>
      <c r="D5" s="273" t="s">
        <v>32</v>
      </c>
      <c r="E5" s="273" t="s">
        <v>30</v>
      </c>
      <c r="F5" s="273" t="s">
        <v>612</v>
      </c>
      <c r="I5" s="174"/>
      <c r="J5" s="174"/>
      <c r="K5" s="174"/>
      <c r="L5" s="297"/>
      <c r="M5" s="297"/>
      <c r="N5" s="297"/>
    </row>
    <row r="6" spans="2:14" ht="16.5" customHeight="1">
      <c r="B6" s="1274" t="s">
        <v>360</v>
      </c>
      <c r="C6" s="282" t="s">
        <v>175</v>
      </c>
      <c r="D6" s="827">
        <v>22332</v>
      </c>
      <c r="E6" s="827">
        <v>148507.79999999999</v>
      </c>
      <c r="F6" s="828">
        <f>E6/D6*10</f>
        <v>66.5</v>
      </c>
      <c r="G6" s="47"/>
      <c r="H6" s="294"/>
      <c r="I6" s="566"/>
      <c r="J6" s="49"/>
      <c r="K6" s="275"/>
      <c r="L6" s="275"/>
      <c r="M6" s="398"/>
      <c r="N6" s="49"/>
    </row>
    <row r="7" spans="2:14" ht="16.5" customHeight="1">
      <c r="B7" s="1274"/>
      <c r="C7" s="282" t="s">
        <v>176</v>
      </c>
      <c r="D7" s="827">
        <v>4208</v>
      </c>
      <c r="E7" s="827">
        <v>25500.5</v>
      </c>
      <c r="F7" s="828">
        <f>E7/D7*10</f>
        <v>60.600047528517109</v>
      </c>
      <c r="G7" s="47"/>
      <c r="H7" s="294"/>
      <c r="I7" s="566"/>
      <c r="J7" s="49"/>
      <c r="K7" s="275"/>
      <c r="L7" s="275"/>
      <c r="M7" s="398"/>
      <c r="N7" s="49"/>
    </row>
    <row r="8" spans="2:14" ht="16.5" customHeight="1">
      <c r="B8" s="1274"/>
      <c r="C8" s="282" t="s">
        <v>7</v>
      </c>
      <c r="D8" s="829">
        <f>SUM(D6:D7)</f>
        <v>26540</v>
      </c>
      <c r="E8" s="829">
        <f>SUM(E6:E7)</f>
        <v>174008.3</v>
      </c>
      <c r="F8" s="830">
        <f>E8/D8*10</f>
        <v>65.564544084400907</v>
      </c>
      <c r="G8" s="47"/>
      <c r="H8" s="294"/>
      <c r="I8" s="567"/>
      <c r="J8" s="49"/>
      <c r="K8" s="275"/>
      <c r="L8" s="275"/>
      <c r="M8" s="398"/>
      <c r="N8" s="49"/>
    </row>
    <row r="9" spans="2:14" ht="16.5" customHeight="1">
      <c r="B9" s="1337" t="s">
        <v>363</v>
      </c>
      <c r="C9" s="282" t="s">
        <v>175</v>
      </c>
      <c r="D9" s="829">
        <v>17395</v>
      </c>
      <c r="E9" s="827">
        <f>D9*F9/10</f>
        <v>111501.95</v>
      </c>
      <c r="F9" s="830">
        <v>64.099999999999994</v>
      </c>
      <c r="G9" s="47"/>
      <c r="H9" s="294"/>
      <c r="I9" s="567"/>
      <c r="J9" s="49"/>
      <c r="K9" s="275"/>
      <c r="L9" s="275"/>
      <c r="M9" s="398"/>
      <c r="N9" s="49"/>
    </row>
    <row r="10" spans="2:14" ht="16.5" customHeight="1">
      <c r="B10" s="1337"/>
      <c r="C10" s="282" t="s">
        <v>176</v>
      </c>
      <c r="D10" s="829">
        <v>3542</v>
      </c>
      <c r="E10" s="827">
        <f>D10*F10/10</f>
        <v>16364.040000000003</v>
      </c>
      <c r="F10" s="830">
        <v>46.2</v>
      </c>
      <c r="G10" s="47"/>
      <c r="H10" s="294"/>
      <c r="I10" s="567"/>
      <c r="J10" s="573"/>
      <c r="K10" s="566"/>
      <c r="L10" s="275"/>
      <c r="M10" s="398"/>
      <c r="N10" s="49"/>
    </row>
    <row r="11" spans="2:14" ht="16.5" customHeight="1">
      <c r="B11" s="1337"/>
      <c r="C11" s="282" t="s">
        <v>7</v>
      </c>
      <c r="D11" s="829">
        <f>SUM(D9:D10)</f>
        <v>20937</v>
      </c>
      <c r="E11" s="829">
        <f>E9+E10</f>
        <v>127865.99</v>
      </c>
      <c r="F11" s="830">
        <f>E11/D11*10</f>
        <v>61.071782012704787</v>
      </c>
      <c r="G11" s="47"/>
      <c r="H11" s="575"/>
      <c r="I11" s="579"/>
      <c r="J11" s="575"/>
      <c r="K11" s="275"/>
      <c r="L11" s="275"/>
      <c r="M11" s="398"/>
      <c r="N11" s="49"/>
    </row>
    <row r="12" spans="2:14" ht="16.5" customHeight="1">
      <c r="B12" s="1337" t="s">
        <v>442</v>
      </c>
      <c r="C12" s="282" t="s">
        <v>175</v>
      </c>
      <c r="D12" s="829">
        <v>27885</v>
      </c>
      <c r="E12" s="827">
        <f>1815355/10</f>
        <v>181535.5</v>
      </c>
      <c r="F12" s="830">
        <f>+E12*10/D12</f>
        <v>65.101488255334402</v>
      </c>
      <c r="G12" s="47"/>
      <c r="H12" s="294"/>
      <c r="I12" s="567"/>
      <c r="J12" s="49"/>
      <c r="K12" s="275"/>
      <c r="L12" s="275"/>
      <c r="M12" s="398"/>
      <c r="N12" s="49"/>
    </row>
    <row r="13" spans="2:14" ht="16.5" customHeight="1">
      <c r="B13" s="1337"/>
      <c r="C13" s="282" t="s">
        <v>176</v>
      </c>
      <c r="D13" s="829">
        <v>1637</v>
      </c>
      <c r="E13" s="827">
        <f>112725/10</f>
        <v>11272.5</v>
      </c>
      <c r="F13" s="830">
        <f>+E13*10/D13</f>
        <v>68.860720830788026</v>
      </c>
      <c r="G13" s="47"/>
      <c r="H13" s="294"/>
      <c r="I13" s="567"/>
      <c r="J13" s="565"/>
      <c r="K13" s="275"/>
      <c r="L13" s="275"/>
      <c r="M13" s="398"/>
      <c r="N13" s="49"/>
    </row>
    <row r="14" spans="2:14" ht="16.5" customHeight="1">
      <c r="B14" s="1337"/>
      <c r="C14" s="282" t="s">
        <v>7</v>
      </c>
      <c r="D14" s="829">
        <f>+D12+D13</f>
        <v>29522</v>
      </c>
      <c r="E14" s="829">
        <f>+E12+E13</f>
        <v>192808</v>
      </c>
      <c r="F14" s="830">
        <f>+E14*10/D14</f>
        <v>65.309938351060225</v>
      </c>
      <c r="G14" s="47"/>
      <c r="H14" s="577"/>
      <c r="I14" s="579"/>
      <c r="J14" s="578"/>
      <c r="K14" s="275"/>
      <c r="L14" s="275"/>
      <c r="M14" s="398"/>
      <c r="N14" s="49"/>
    </row>
    <row r="15" spans="2:14" ht="16.5" customHeight="1">
      <c r="B15" s="1337" t="s">
        <v>477</v>
      </c>
      <c r="C15" s="282" t="s">
        <v>175</v>
      </c>
      <c r="D15" s="829">
        <v>23083</v>
      </c>
      <c r="E15" s="829">
        <v>154923.79999999999</v>
      </c>
      <c r="F15" s="830">
        <f>E15/D15*10</f>
        <v>67.115972793830963</v>
      </c>
      <c r="G15" s="47"/>
      <c r="H15" s="577"/>
      <c r="I15" s="579"/>
      <c r="J15" s="578"/>
      <c r="K15" s="275"/>
      <c r="L15" s="275"/>
      <c r="M15" s="398"/>
      <c r="N15" s="49"/>
    </row>
    <row r="16" spans="2:14" ht="16.5" customHeight="1">
      <c r="B16" s="1337"/>
      <c r="C16" s="282" t="s">
        <v>461</v>
      </c>
      <c r="D16" s="829">
        <v>3159</v>
      </c>
      <c r="E16" s="829">
        <v>19973.400000000001</v>
      </c>
      <c r="F16" s="830">
        <f>E16/D16*10</f>
        <v>63.226970560303897</v>
      </c>
      <c r="G16" s="47"/>
      <c r="H16" s="577"/>
      <c r="I16" s="579"/>
      <c r="J16" s="578"/>
      <c r="K16" s="275"/>
      <c r="L16" s="275"/>
      <c r="M16" s="398"/>
      <c r="N16" s="49"/>
    </row>
    <row r="17" spans="2:14" ht="16.5" customHeight="1">
      <c r="B17" s="1337"/>
      <c r="C17" s="282" t="s">
        <v>7</v>
      </c>
      <c r="D17" s="829">
        <v>26242</v>
      </c>
      <c r="E17" s="829">
        <v>174897.2</v>
      </c>
      <c r="F17" s="830">
        <v>66.599999999999994</v>
      </c>
      <c r="G17" s="47"/>
      <c r="H17" s="577"/>
      <c r="I17" s="579"/>
      <c r="J17" s="578"/>
      <c r="K17" s="275"/>
      <c r="L17" s="275"/>
      <c r="M17" s="398"/>
      <c r="N17" s="49"/>
    </row>
    <row r="18" spans="2:14" ht="16.5" customHeight="1">
      <c r="B18" s="1337" t="s">
        <v>616</v>
      </c>
      <c r="C18" s="282" t="s">
        <v>175</v>
      </c>
      <c r="D18" s="829">
        <v>20185</v>
      </c>
      <c r="E18" s="829">
        <v>126140.9</v>
      </c>
      <c r="F18" s="830">
        <f>E18/D18*10</f>
        <v>62.492395343076545</v>
      </c>
      <c r="G18" s="47"/>
      <c r="H18" s="577"/>
      <c r="I18" s="579"/>
      <c r="J18" s="912"/>
      <c r="K18" s="275"/>
      <c r="L18" s="275"/>
      <c r="M18" s="398"/>
      <c r="N18" s="49"/>
    </row>
    <row r="19" spans="2:14" ht="16.5" customHeight="1">
      <c r="B19" s="1337"/>
      <c r="C19" s="282" t="s">
        <v>461</v>
      </c>
      <c r="D19" s="829">
        <v>6209</v>
      </c>
      <c r="E19" s="829">
        <v>43555.6</v>
      </c>
      <c r="F19" s="830">
        <f>E19/D19*10</f>
        <v>70.149138347559997</v>
      </c>
      <c r="G19" s="47"/>
      <c r="H19" s="577"/>
      <c r="I19" s="579"/>
      <c r="J19" s="912"/>
      <c r="K19" s="275"/>
      <c r="L19" s="275"/>
      <c r="M19" s="398"/>
      <c r="N19" s="49"/>
    </row>
    <row r="20" spans="2:14" ht="16.5" customHeight="1">
      <c r="B20" s="1337"/>
      <c r="C20" s="282" t="s">
        <v>7</v>
      </c>
      <c r="D20" s="829">
        <f>D18+D19</f>
        <v>26394</v>
      </c>
      <c r="E20" s="829">
        <f>E18+E19</f>
        <v>169696.5</v>
      </c>
      <c r="F20" s="830">
        <f>E20/D20*10</f>
        <v>64.293589452148211</v>
      </c>
      <c r="G20" s="47"/>
      <c r="H20" s="577"/>
      <c r="I20" s="579"/>
      <c r="J20" s="578"/>
      <c r="K20" s="275"/>
      <c r="L20" s="275"/>
      <c r="M20" s="398"/>
      <c r="N20" s="49"/>
    </row>
    <row r="21" spans="2:14" ht="18" customHeight="1">
      <c r="B21" s="1336" t="s">
        <v>483</v>
      </c>
      <c r="C21" s="1336"/>
      <c r="D21" s="1336"/>
      <c r="E21" s="1336"/>
      <c r="F21" s="1336"/>
    </row>
    <row r="22" spans="2:14" ht="14.25">
      <c r="B22" s="632"/>
    </row>
    <row r="23" spans="2:14" ht="16.5" customHeight="1">
      <c r="B23" s="632"/>
      <c r="D23" s="662"/>
    </row>
    <row r="24" spans="2:14" ht="15" customHeight="1">
      <c r="B24" s="632"/>
      <c r="D24" s="662"/>
      <c r="E24" s="592"/>
      <c r="F24" s="569"/>
    </row>
    <row r="25" spans="2:14" ht="14.25">
      <c r="B25" s="632"/>
      <c r="E25" s="568"/>
      <c r="F25" s="569"/>
    </row>
    <row r="26" spans="2:14">
      <c r="F26" s="569"/>
    </row>
    <row r="27" spans="2:14">
      <c r="F27" s="569"/>
    </row>
    <row r="28" spans="2:14">
      <c r="F28" s="569"/>
    </row>
    <row r="29" spans="2:14">
      <c r="F29" s="569"/>
    </row>
  </sheetData>
  <mergeCells count="9">
    <mergeCell ref="B21:F21"/>
    <mergeCell ref="B1:F1"/>
    <mergeCell ref="B2:F2"/>
    <mergeCell ref="B3:F3"/>
    <mergeCell ref="B6:B8"/>
    <mergeCell ref="B9:B11"/>
    <mergeCell ref="B12:B14"/>
    <mergeCell ref="B18:B20"/>
    <mergeCell ref="B15:B17"/>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pageSetUpPr fitToPage="1"/>
  </sheetPr>
  <dimension ref="B1:H31"/>
  <sheetViews>
    <sheetView topLeftCell="A7" zoomScaleNormal="100" workbookViewId="0">
      <selection activeCell="G9" sqref="G9"/>
    </sheetView>
  </sheetViews>
  <sheetFormatPr baseColWidth="10" defaultRowHeight="18"/>
  <cols>
    <col min="1" max="1" width="0.7265625" customWidth="1"/>
    <col min="2" max="2" width="18.453125" customWidth="1"/>
    <col min="3" max="3" width="5.90625" customWidth="1"/>
    <col min="4" max="4" width="8.08984375" customWidth="1"/>
    <col min="5" max="5" width="5.90625" customWidth="1"/>
    <col min="6" max="6" width="14.36328125" customWidth="1"/>
  </cols>
  <sheetData>
    <row r="1" spans="2:8">
      <c r="B1" s="1107" t="s">
        <v>37</v>
      </c>
      <c r="C1" s="1107"/>
      <c r="D1" s="1107"/>
      <c r="E1" s="1107"/>
      <c r="F1" s="1107"/>
    </row>
    <row r="2" spans="2:8" ht="17.45" customHeight="1">
      <c r="B2" s="1142" t="s">
        <v>480</v>
      </c>
      <c r="C2" s="1142"/>
      <c r="D2" s="1142"/>
      <c r="E2" s="1142"/>
      <c r="F2" s="1142"/>
    </row>
    <row r="3" spans="2:8">
      <c r="B3" s="1279" t="s">
        <v>701</v>
      </c>
      <c r="C3" s="1279"/>
      <c r="D3" s="1279"/>
      <c r="E3" s="1279"/>
      <c r="F3" s="1279"/>
    </row>
    <row r="4" spans="2:8">
      <c r="B4" s="1340" t="s">
        <v>702</v>
      </c>
      <c r="C4" s="1340"/>
      <c r="D4" s="1340"/>
      <c r="E4" s="1340"/>
      <c r="F4" s="1340"/>
    </row>
    <row r="5" spans="2:8" ht="17.45" customHeight="1"/>
    <row r="6" spans="2:8">
      <c r="B6" s="1125" t="s">
        <v>704</v>
      </c>
      <c r="C6" s="1124"/>
      <c r="D6" s="1281" t="s">
        <v>175</v>
      </c>
      <c r="E6" s="1281"/>
      <c r="F6" s="1019" t="s">
        <v>175</v>
      </c>
      <c r="G6" s="1018"/>
    </row>
    <row r="7" spans="2:8" ht="34.5" customHeight="1">
      <c r="B7" s="1124" t="s">
        <v>703</v>
      </c>
      <c r="C7" s="1345"/>
      <c r="D7" s="1281" t="s">
        <v>705</v>
      </c>
      <c r="E7" s="1281"/>
      <c r="F7" s="1019" t="s">
        <v>705</v>
      </c>
      <c r="G7" s="1018"/>
    </row>
    <row r="8" spans="2:8">
      <c r="B8" s="1124" t="s">
        <v>706</v>
      </c>
      <c r="C8" s="1345"/>
      <c r="D8" s="1281" t="s">
        <v>707</v>
      </c>
      <c r="E8" s="1281"/>
      <c r="F8" s="1019" t="s">
        <v>713</v>
      </c>
      <c r="G8" s="403"/>
      <c r="H8" s="1021"/>
    </row>
    <row r="9" spans="2:8" ht="39" customHeight="1">
      <c r="B9" s="1124" t="s">
        <v>708</v>
      </c>
      <c r="C9" s="1345"/>
      <c r="D9" s="1281" t="s">
        <v>709</v>
      </c>
      <c r="E9" s="1281"/>
      <c r="F9" s="1019" t="s">
        <v>714</v>
      </c>
      <c r="G9" s="403"/>
    </row>
    <row r="10" spans="2:8" ht="18.600000000000001" customHeight="1">
      <c r="B10" s="1125" t="s">
        <v>208</v>
      </c>
      <c r="C10" s="1124"/>
      <c r="D10" s="1281">
        <v>65</v>
      </c>
      <c r="E10" s="1281"/>
      <c r="F10" s="1019">
        <v>90</v>
      </c>
      <c r="G10" s="403"/>
    </row>
    <row r="11" spans="2:8" ht="21" customHeight="1">
      <c r="B11" s="1125" t="s">
        <v>312</v>
      </c>
      <c r="C11" s="1124"/>
      <c r="D11" s="1281" t="s">
        <v>210</v>
      </c>
      <c r="E11" s="1281"/>
      <c r="F11" s="1019" t="s">
        <v>210</v>
      </c>
      <c r="G11" s="63"/>
    </row>
    <row r="12" spans="2:8" ht="21" customHeight="1">
      <c r="B12" s="1341" t="s">
        <v>710</v>
      </c>
      <c r="C12" s="1342"/>
      <c r="D12" s="1343">
        <f>SUM(D13:E16)</f>
        <v>922237</v>
      </c>
      <c r="E12" s="1344"/>
      <c r="F12" s="1023">
        <f>SUM(F13:F16)</f>
        <v>1246384</v>
      </c>
    </row>
    <row r="13" spans="2:8">
      <c r="B13" s="1346" t="s">
        <v>97</v>
      </c>
      <c r="C13" s="1347"/>
      <c r="D13" s="1338">
        <v>128000</v>
      </c>
      <c r="E13" s="1339"/>
      <c r="F13" s="1064">
        <v>92000</v>
      </c>
    </row>
    <row r="14" spans="2:8">
      <c r="B14" s="1346" t="s">
        <v>98</v>
      </c>
      <c r="C14" s="1347"/>
      <c r="D14" s="1338">
        <v>270000</v>
      </c>
      <c r="E14" s="1339"/>
      <c r="F14" s="1020">
        <v>470000</v>
      </c>
    </row>
    <row r="15" spans="2:8">
      <c r="B15" s="1346" t="s">
        <v>72</v>
      </c>
      <c r="C15" s="1347"/>
      <c r="D15" s="1338">
        <v>480321</v>
      </c>
      <c r="E15" s="1339"/>
      <c r="F15" s="1020">
        <v>625032</v>
      </c>
    </row>
    <row r="16" spans="2:8">
      <c r="B16" s="1355" t="s">
        <v>711</v>
      </c>
      <c r="C16" s="1356"/>
      <c r="D16" s="1338">
        <v>43916</v>
      </c>
      <c r="E16" s="1339"/>
      <c r="F16" s="1020">
        <v>59352</v>
      </c>
    </row>
    <row r="17" spans="2:6">
      <c r="B17" s="1352" t="s">
        <v>712</v>
      </c>
      <c r="C17" s="1353"/>
      <c r="D17" s="1343">
        <v>62251</v>
      </c>
      <c r="E17" s="1344"/>
      <c r="F17" s="1023">
        <v>84131</v>
      </c>
    </row>
    <row r="18" spans="2:6">
      <c r="B18" s="1354" t="s">
        <v>99</v>
      </c>
      <c r="C18" s="1354"/>
      <c r="D18" s="1343">
        <f>SUM(D13:E17)</f>
        <v>984488</v>
      </c>
      <c r="E18" s="1344"/>
      <c r="F18" s="1023">
        <v>1330514</v>
      </c>
    </row>
    <row r="19" spans="2:6" ht="25.5" customHeight="1">
      <c r="B19" s="1138" t="s">
        <v>540</v>
      </c>
      <c r="C19" s="1138"/>
      <c r="D19" s="1138"/>
      <c r="E19" s="1138"/>
      <c r="F19" s="1022"/>
    </row>
    <row r="20" spans="2:6" ht="22.5" customHeight="1">
      <c r="B20" s="1349" t="s">
        <v>715</v>
      </c>
      <c r="C20" s="1350"/>
      <c r="D20" s="1350"/>
      <c r="E20" s="1350"/>
      <c r="F20" s="1351"/>
    </row>
    <row r="21" spans="2:6" ht="14.25" customHeight="1">
      <c r="B21" s="1348"/>
      <c r="C21" s="1348"/>
      <c r="D21" s="1348"/>
      <c r="E21" s="1348"/>
    </row>
    <row r="28" spans="2:6">
      <c r="C28" s="916"/>
      <c r="D28" s="916"/>
    </row>
    <row r="29" spans="2:6">
      <c r="C29" s="916"/>
      <c r="D29" s="916"/>
    </row>
    <row r="30" spans="2:6">
      <c r="C30" s="916"/>
      <c r="D30" s="916"/>
    </row>
    <row r="31" spans="2:6">
      <c r="C31" s="916"/>
      <c r="D31" s="916"/>
    </row>
  </sheetData>
  <mergeCells count="33">
    <mergeCell ref="D11:E11"/>
    <mergeCell ref="D10:E10"/>
    <mergeCell ref="B13:C13"/>
    <mergeCell ref="B10:C10"/>
    <mergeCell ref="B21:E21"/>
    <mergeCell ref="B19:E19"/>
    <mergeCell ref="B20:F20"/>
    <mergeCell ref="B17:C17"/>
    <mergeCell ref="D17:E17"/>
    <mergeCell ref="B14:C14"/>
    <mergeCell ref="B15:C15"/>
    <mergeCell ref="B18:C18"/>
    <mergeCell ref="B16:C16"/>
    <mergeCell ref="D15:E15"/>
    <mergeCell ref="D16:E16"/>
    <mergeCell ref="D18:E18"/>
    <mergeCell ref="D14:E14"/>
    <mergeCell ref="D13:E13"/>
    <mergeCell ref="B1:F1"/>
    <mergeCell ref="B2:F2"/>
    <mergeCell ref="B3:F3"/>
    <mergeCell ref="B4:F4"/>
    <mergeCell ref="B12:C12"/>
    <mergeCell ref="D12:E12"/>
    <mergeCell ref="D6:E6"/>
    <mergeCell ref="B6:C6"/>
    <mergeCell ref="B11:C11"/>
    <mergeCell ref="B7:C7"/>
    <mergeCell ref="D7:E7"/>
    <mergeCell ref="B8:C8"/>
    <mergeCell ref="D8:E8"/>
    <mergeCell ref="B9:C9"/>
    <mergeCell ref="D9:E9"/>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pageSetUpPr fitToPage="1"/>
  </sheetPr>
  <dimension ref="B1:O50"/>
  <sheetViews>
    <sheetView zoomScaleNormal="100" workbookViewId="0">
      <selection activeCell="L28" sqref="L28"/>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54296875" style="1" customWidth="1"/>
    <col min="12" max="15" width="9.6328125" style="2"/>
    <col min="16" max="16384" width="9.6328125" style="1"/>
  </cols>
  <sheetData>
    <row r="1" spans="2:15" s="23" customFormat="1" ht="18" customHeight="1">
      <c r="B1" s="1291" t="s">
        <v>74</v>
      </c>
      <c r="C1" s="1291"/>
      <c r="D1" s="1291"/>
      <c r="E1" s="1291"/>
      <c r="F1" s="1291"/>
      <c r="G1" s="1291"/>
      <c r="L1" s="31"/>
      <c r="M1" s="31"/>
      <c r="N1" s="31"/>
      <c r="O1" s="31"/>
    </row>
    <row r="2" spans="2:15" s="23" customFormat="1" ht="12.75">
      <c r="L2" s="31"/>
      <c r="M2" s="31"/>
      <c r="N2" s="31"/>
      <c r="O2" s="31"/>
    </row>
    <row r="3" spans="2:15" s="23" customFormat="1" ht="12.75">
      <c r="B3" s="1152" t="s">
        <v>470</v>
      </c>
      <c r="C3" s="1152"/>
      <c r="D3" s="1152"/>
      <c r="E3" s="1152"/>
      <c r="F3" s="1152"/>
      <c r="G3" s="1152"/>
      <c r="L3" s="31"/>
      <c r="M3" s="31"/>
      <c r="N3" s="31"/>
      <c r="O3" s="31"/>
    </row>
    <row r="4" spans="2:15" s="23" customFormat="1" ht="12.75">
      <c r="B4" s="1152" t="s">
        <v>689</v>
      </c>
      <c r="C4" s="1152"/>
      <c r="D4" s="1152"/>
      <c r="E4" s="1152"/>
      <c r="F4" s="1152"/>
      <c r="G4" s="1152"/>
      <c r="L4" s="31"/>
      <c r="M4" s="31"/>
      <c r="N4" s="31"/>
      <c r="O4" s="31"/>
    </row>
    <row r="5" spans="2:15" s="23" customFormat="1" ht="18">
      <c r="B5" s="1357" t="s">
        <v>221</v>
      </c>
      <c r="C5" s="1357"/>
      <c r="D5" s="1357"/>
      <c r="E5" s="1357"/>
      <c r="F5" s="1357"/>
      <c r="G5" s="1357"/>
      <c r="L5" s="31"/>
      <c r="M5" s="403"/>
      <c r="N5" s="403"/>
      <c r="O5" s="31"/>
    </row>
    <row r="6" spans="2:15" s="35" customFormat="1" ht="28.5" customHeight="1">
      <c r="B6" s="1150" t="s">
        <v>5</v>
      </c>
      <c r="C6" s="1150" t="s">
        <v>443</v>
      </c>
      <c r="D6" s="1358" t="s">
        <v>313</v>
      </c>
      <c r="E6" s="1150" t="s">
        <v>314</v>
      </c>
      <c r="F6" s="1150" t="s">
        <v>472</v>
      </c>
      <c r="G6" s="1153" t="s">
        <v>484</v>
      </c>
      <c r="L6" s="46"/>
      <c r="M6" s="403"/>
      <c r="N6" s="403"/>
      <c r="O6" s="46"/>
    </row>
    <row r="7" spans="2:15" s="35" customFormat="1" ht="18">
      <c r="B7" s="1150"/>
      <c r="C7" s="1150"/>
      <c r="D7" s="1358"/>
      <c r="E7" s="1150"/>
      <c r="F7" s="1150"/>
      <c r="G7" s="1154"/>
      <c r="I7" s="33"/>
      <c r="L7" s="46"/>
      <c r="M7" s="403"/>
      <c r="N7" s="187"/>
      <c r="O7" s="46"/>
    </row>
    <row r="8" spans="2:15" s="35" customFormat="1" ht="18">
      <c r="B8" s="95">
        <v>2008</v>
      </c>
      <c r="C8" s="406">
        <v>60700.1</v>
      </c>
      <c r="D8" s="406">
        <v>92816.909</v>
      </c>
      <c r="E8" s="406">
        <v>0</v>
      </c>
      <c r="F8" s="406">
        <v>153531.40909999999</v>
      </c>
      <c r="G8" s="635"/>
      <c r="I8" s="33"/>
      <c r="L8" s="46"/>
      <c r="M8" s="403"/>
      <c r="N8" s="187"/>
      <c r="O8" s="46"/>
    </row>
    <row r="9" spans="2:15" s="35" customFormat="1" ht="18">
      <c r="B9" s="95">
        <v>2009</v>
      </c>
      <c r="C9" s="406">
        <v>63655.6</v>
      </c>
      <c r="D9" s="406">
        <v>97500.551000000007</v>
      </c>
      <c r="E9" s="406">
        <v>0</v>
      </c>
      <c r="F9" s="406">
        <v>161156.15155000001</v>
      </c>
      <c r="G9" s="409">
        <f t="shared" ref="G9:G18" si="0">F9/F8*100-100</f>
        <v>4.9662427347577847</v>
      </c>
      <c r="I9" s="33"/>
      <c r="J9" s="18"/>
      <c r="L9" s="46"/>
      <c r="M9" s="403"/>
      <c r="N9" s="187"/>
      <c r="O9" s="46"/>
    </row>
    <row r="10" spans="2:15" s="35" customFormat="1" ht="18">
      <c r="B10" s="95">
        <v>2010</v>
      </c>
      <c r="C10" s="406">
        <v>47336.25</v>
      </c>
      <c r="D10" s="406">
        <v>98410.813999999998</v>
      </c>
      <c r="E10" s="406">
        <v>0</v>
      </c>
      <c r="F10" s="406">
        <v>145881.96455</v>
      </c>
      <c r="G10" s="409">
        <f t="shared" si="0"/>
        <v>-9.4778802131304758</v>
      </c>
      <c r="I10" s="33"/>
      <c r="J10" s="18"/>
      <c r="L10" s="46"/>
      <c r="M10" s="403"/>
      <c r="N10" s="187"/>
      <c r="O10" s="46"/>
    </row>
    <row r="11" spans="2:15" s="35" customFormat="1" ht="15.75" customHeight="1">
      <c r="B11" s="95">
        <v>2011</v>
      </c>
      <c r="C11" s="406">
        <v>70402.445999999996</v>
      </c>
      <c r="D11" s="406">
        <v>83594.012600000002</v>
      </c>
      <c r="E11" s="406">
        <v>346.1</v>
      </c>
      <c r="F11" s="406">
        <f t="shared" ref="F11:F18" si="1">C11+D11-E11</f>
        <v>153650.35860000001</v>
      </c>
      <c r="G11" s="409">
        <f t="shared" si="0"/>
        <v>5.3251230019852471</v>
      </c>
      <c r="I11" s="33"/>
      <c r="J11" s="18"/>
      <c r="K11" s="408"/>
      <c r="L11" s="46"/>
      <c r="M11" s="403"/>
      <c r="N11" s="187"/>
      <c r="O11" s="46"/>
    </row>
    <row r="12" spans="2:15" s="35" customFormat="1" ht="15.75" customHeight="1">
      <c r="B12" s="95">
        <v>2012</v>
      </c>
      <c r="C12" s="406">
        <v>80885.466</v>
      </c>
      <c r="D12" s="406">
        <v>93846.020999999993</v>
      </c>
      <c r="E12" s="407">
        <v>62.3</v>
      </c>
      <c r="F12" s="406">
        <f t="shared" si="1"/>
        <v>174669.18700000001</v>
      </c>
      <c r="G12" s="409">
        <f t="shared" si="0"/>
        <v>13.679648125468162</v>
      </c>
      <c r="I12" s="33"/>
      <c r="J12" s="18"/>
      <c r="K12" s="408"/>
      <c r="L12" s="46"/>
      <c r="M12" s="403"/>
      <c r="N12" s="187"/>
      <c r="O12" s="46"/>
    </row>
    <row r="13" spans="2:15" s="35" customFormat="1" ht="15.75" customHeight="1">
      <c r="B13" s="95">
        <v>2013</v>
      </c>
      <c r="C13" s="406">
        <v>70365.941999999995</v>
      </c>
      <c r="D13" s="406">
        <v>90685.751000000004</v>
      </c>
      <c r="E13" s="407">
        <v>2</v>
      </c>
      <c r="F13" s="406">
        <f t="shared" si="1"/>
        <v>161049.693</v>
      </c>
      <c r="G13" s="409">
        <f t="shared" si="0"/>
        <v>-7.797307718618967</v>
      </c>
      <c r="J13" s="18"/>
      <c r="K13" s="408"/>
      <c r="L13" s="46"/>
      <c r="M13" s="403"/>
      <c r="N13" s="187"/>
      <c r="O13" s="46"/>
    </row>
    <row r="14" spans="2:15" s="35" customFormat="1" ht="15.75" customHeight="1">
      <c r="B14" s="95">
        <v>2014</v>
      </c>
      <c r="C14" s="406">
        <v>72837.521999999997</v>
      </c>
      <c r="D14" s="406">
        <v>90177</v>
      </c>
      <c r="E14" s="407">
        <v>7217.1</v>
      </c>
      <c r="F14" s="406">
        <f t="shared" si="1"/>
        <v>155797.42199999999</v>
      </c>
      <c r="G14" s="409">
        <f t="shared" si="0"/>
        <v>-3.2612735250603748</v>
      </c>
      <c r="J14" s="18"/>
      <c r="K14" s="408"/>
      <c r="L14" s="46"/>
      <c r="M14" s="403"/>
      <c r="N14" s="187"/>
      <c r="O14" s="46"/>
    </row>
    <row r="15" spans="2:15" s="35" customFormat="1" ht="15.75" customHeight="1">
      <c r="B15" s="95">
        <v>2015</v>
      </c>
      <c r="C15" s="406">
        <v>88322.4</v>
      </c>
      <c r="D15" s="406">
        <v>118644</v>
      </c>
      <c r="E15" s="407">
        <v>3019</v>
      </c>
      <c r="F15" s="406">
        <f t="shared" si="1"/>
        <v>203947.4</v>
      </c>
      <c r="G15" s="409">
        <f t="shared" si="0"/>
        <v>30.905503686704151</v>
      </c>
      <c r="J15" s="18"/>
      <c r="K15" s="408"/>
      <c r="L15" s="46"/>
      <c r="M15" s="403"/>
      <c r="N15" s="187"/>
      <c r="O15" s="46"/>
    </row>
    <row r="16" spans="2:15" s="35" customFormat="1" ht="15.75" customHeight="1">
      <c r="B16" s="95">
        <v>2016</v>
      </c>
      <c r="C16" s="406">
        <v>93964</v>
      </c>
      <c r="D16" s="406">
        <v>103903.446</v>
      </c>
      <c r="E16" s="407">
        <v>1218.712</v>
      </c>
      <c r="F16" s="406">
        <f t="shared" si="1"/>
        <v>196648.734</v>
      </c>
      <c r="G16" s="409">
        <f t="shared" si="0"/>
        <v>-3.5787001942657781</v>
      </c>
      <c r="J16" s="18"/>
      <c r="K16" s="408"/>
      <c r="L16" s="46"/>
      <c r="M16" s="403"/>
      <c r="N16" s="187"/>
      <c r="O16" s="46"/>
    </row>
    <row r="17" spans="2:15" s="35" customFormat="1" ht="15.75" customHeight="1">
      <c r="B17" s="95">
        <v>2017</v>
      </c>
      <c r="C17" s="406">
        <f>+'48'!E11*0.56</f>
        <v>71604.954400000017</v>
      </c>
      <c r="D17" s="406">
        <f>'51'!D18</f>
        <v>133366.25400000002</v>
      </c>
      <c r="E17" s="407">
        <v>1483</v>
      </c>
      <c r="F17" s="406">
        <f t="shared" si="1"/>
        <v>203488.20840000003</v>
      </c>
      <c r="G17" s="409">
        <f t="shared" si="0"/>
        <v>3.4780159835659248</v>
      </c>
      <c r="I17" s="625"/>
      <c r="J17" s="625"/>
      <c r="K17" s="408"/>
      <c r="L17" s="46"/>
      <c r="M17" s="403"/>
      <c r="N17" s="187"/>
      <c r="O17" s="46"/>
    </row>
    <row r="18" spans="2:15" s="35" customFormat="1" ht="15.75" customHeight="1">
      <c r="B18" s="95">
        <v>2018</v>
      </c>
      <c r="C18" s="406">
        <f>+'48'!E14*0.56</f>
        <v>107972.48000000001</v>
      </c>
      <c r="D18" s="406">
        <f>+'51'!E18</f>
        <v>126281.10111</v>
      </c>
      <c r="E18" s="407">
        <f>4385587/1000</f>
        <v>4385.5870000000004</v>
      </c>
      <c r="F18" s="406">
        <f t="shared" si="1"/>
        <v>229867.99411000003</v>
      </c>
      <c r="G18" s="409">
        <f t="shared" si="0"/>
        <v>12.963790834574951</v>
      </c>
      <c r="I18" s="482"/>
      <c r="J18" s="739"/>
      <c r="K18" s="408"/>
      <c r="L18" s="46"/>
      <c r="M18" s="403"/>
      <c r="N18" s="187"/>
      <c r="O18" s="46"/>
    </row>
    <row r="19" spans="2:15" s="35" customFormat="1" ht="15.75" customHeight="1">
      <c r="B19" s="95">
        <v>2019</v>
      </c>
      <c r="C19" s="406">
        <f>+'48'!E17*0.56</f>
        <v>97942.432000000015</v>
      </c>
      <c r="D19" s="406">
        <f>+'51'!E18</f>
        <v>126281.10111</v>
      </c>
      <c r="E19" s="407">
        <v>3192</v>
      </c>
      <c r="F19" s="406">
        <f>C19+D19-E19</f>
        <v>221031.53311000002</v>
      </c>
      <c r="G19" s="409">
        <f>F19/F18*100-100</f>
        <v>-3.8441458691162751</v>
      </c>
      <c r="I19" s="624"/>
      <c r="J19" s="913"/>
      <c r="K19" s="408"/>
      <c r="L19" s="46"/>
      <c r="M19" s="403"/>
      <c r="N19" s="187"/>
      <c r="O19" s="46"/>
    </row>
    <row r="20" spans="2:15" s="35" customFormat="1" ht="15.75" customHeight="1">
      <c r="B20" s="95">
        <v>2020</v>
      </c>
      <c r="C20" s="406">
        <f>+'48'!E20*0.56</f>
        <v>95030.040000000008</v>
      </c>
      <c r="D20" s="406">
        <f>+'51'!F18</f>
        <v>167355.36387</v>
      </c>
      <c r="E20" s="407">
        <v>162</v>
      </c>
      <c r="F20" s="406">
        <f>C20+D20-E20</f>
        <v>262223.40387000004</v>
      </c>
      <c r="G20" s="409">
        <f>F20/F19*100-100</f>
        <v>18.636196465008538</v>
      </c>
      <c r="I20" s="624"/>
      <c r="J20" s="913"/>
      <c r="K20" s="408"/>
      <c r="L20" s="46"/>
      <c r="M20" s="403"/>
      <c r="N20" s="187"/>
      <c r="O20" s="46"/>
    </row>
    <row r="21" spans="2:15" s="35" customFormat="1" ht="21.75" customHeight="1">
      <c r="B21" s="1110" t="s">
        <v>405</v>
      </c>
      <c r="C21" s="1335"/>
      <c r="D21" s="1335"/>
      <c r="E21" s="1335"/>
      <c r="F21" s="1335"/>
      <c r="G21" s="1335"/>
      <c r="I21" s="18"/>
      <c r="J21" s="18"/>
      <c r="L21" s="46"/>
      <c r="M21" s="403"/>
      <c r="N21" s="187"/>
      <c r="O21" s="46"/>
    </row>
    <row r="22" spans="2:15" ht="24.75" customHeight="1"/>
    <row r="23" spans="2:15" ht="15.75" customHeight="1">
      <c r="J23" s="18"/>
    </row>
    <row r="24" spans="2:15" ht="15" customHeight="1"/>
    <row r="25" spans="2:15" ht="15" customHeight="1"/>
    <row r="26" spans="2:15" ht="15" customHeight="1"/>
    <row r="27" spans="2:15" ht="15" customHeight="1"/>
    <row r="28" spans="2:15" ht="15" customHeight="1"/>
    <row r="29" spans="2:15" ht="15" customHeight="1">
      <c r="G29" s="17"/>
    </row>
    <row r="30" spans="2:15" ht="15" customHeight="1">
      <c r="G30" s="18"/>
      <c r="L30" s="410"/>
    </row>
    <row r="31" spans="2:15" ht="15" customHeight="1">
      <c r="L31" s="410"/>
    </row>
    <row r="32" spans="2:15" ht="15" customHeight="1">
      <c r="L32" s="410"/>
    </row>
    <row r="33" spans="9:9" ht="15" customHeight="1"/>
    <row r="34" spans="9:9" ht="15" customHeight="1"/>
    <row r="35" spans="9:9" ht="15" customHeight="1"/>
    <row r="36" spans="9:9" ht="15" customHeight="1">
      <c r="I36" s="34"/>
    </row>
    <row r="37" spans="9:9" ht="7.5" customHeight="1"/>
    <row r="50" spans="2:11">
      <c r="B50" s="16"/>
      <c r="C50" s="16"/>
      <c r="D50" s="16"/>
      <c r="E50" s="16"/>
      <c r="F50" s="16"/>
      <c r="G50" s="16"/>
      <c r="H50" s="16"/>
      <c r="I50" s="16"/>
      <c r="J50" s="16"/>
      <c r="K50" s="16"/>
    </row>
  </sheetData>
  <mergeCells count="11">
    <mergeCell ref="B21:G21"/>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pageSetUpPr fitToPage="1"/>
  </sheetPr>
  <dimension ref="A1:L36"/>
  <sheetViews>
    <sheetView zoomScaleNormal="100" workbookViewId="0">
      <selection activeCell="I7" sqref="I7"/>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23" customFormat="1" ht="16.5" customHeight="1">
      <c r="B1" s="1104" t="s">
        <v>75</v>
      </c>
      <c r="C1" s="1104"/>
      <c r="D1" s="1104"/>
      <c r="E1" s="1104"/>
      <c r="F1" s="1104"/>
      <c r="G1" s="1104"/>
    </row>
    <row r="2" spans="1:10" s="23" customFormat="1" ht="11.25" customHeight="1">
      <c r="A2" s="25"/>
      <c r="B2" s="25"/>
      <c r="C2" s="25"/>
      <c r="D2" s="25"/>
      <c r="E2" s="24"/>
      <c r="F2" s="873"/>
      <c r="G2" s="873"/>
      <c r="H2" s="18"/>
    </row>
    <row r="3" spans="1:10" s="23" customFormat="1" ht="24.75" customHeight="1">
      <c r="B3" s="1184" t="s">
        <v>422</v>
      </c>
      <c r="C3" s="1184"/>
      <c r="D3" s="1184"/>
      <c r="E3" s="1184"/>
      <c r="F3" s="1184"/>
      <c r="G3" s="1184"/>
    </row>
    <row r="4" spans="1:10" s="23" customFormat="1" ht="15.75" customHeight="1">
      <c r="B4" s="1160" t="s">
        <v>686</v>
      </c>
      <c r="C4" s="1160"/>
      <c r="D4" s="1160"/>
      <c r="E4" s="1160"/>
      <c r="F4" s="1160"/>
      <c r="G4" s="1160"/>
    </row>
    <row r="5" spans="1:10" s="35" customFormat="1" ht="15.75" customHeight="1">
      <c r="B5" s="272" t="s">
        <v>224</v>
      </c>
      <c r="C5" s="345">
        <v>2017</v>
      </c>
      <c r="D5" s="345">
        <v>2018</v>
      </c>
      <c r="E5" s="345">
        <v>2019</v>
      </c>
      <c r="F5" s="345">
        <v>2020</v>
      </c>
      <c r="G5" s="345">
        <v>2021</v>
      </c>
      <c r="I5" s="191"/>
      <c r="J5" s="191"/>
    </row>
    <row r="6" spans="1:10" s="35" customFormat="1" ht="15.75" customHeight="1">
      <c r="B6" s="39" t="str">
        <f>'52'!B7</f>
        <v>Enero</v>
      </c>
      <c r="C6" s="147">
        <v>9235.1319999999996</v>
      </c>
      <c r="D6" s="89">
        <v>9627.125</v>
      </c>
      <c r="E6" s="599">
        <v>9764.720800000001</v>
      </c>
      <c r="F6" s="599">
        <v>8803</v>
      </c>
      <c r="G6" s="147">
        <v>8285</v>
      </c>
      <c r="I6" s="482"/>
      <c r="J6" s="191"/>
    </row>
    <row r="7" spans="1:10" s="35" customFormat="1" ht="15.75" customHeight="1">
      <c r="B7" s="39" t="str">
        <f>'52'!B8</f>
        <v>Febrero</v>
      </c>
      <c r="C7" s="147">
        <v>11195.016</v>
      </c>
      <c r="D7" s="89">
        <v>9983.5290000000005</v>
      </c>
      <c r="E7" s="599">
        <v>9739</v>
      </c>
      <c r="F7" s="599">
        <v>10115</v>
      </c>
      <c r="G7" s="147">
        <v>10165</v>
      </c>
      <c r="H7" s="41"/>
    </row>
    <row r="8" spans="1:10" s="35" customFormat="1" ht="15.75" customHeight="1">
      <c r="B8" s="39" t="str">
        <f>'52'!B9</f>
        <v>Marzo</v>
      </c>
      <c r="C8" s="147">
        <v>10120.942999999999</v>
      </c>
      <c r="D8" s="89">
        <v>13439</v>
      </c>
      <c r="E8" s="599">
        <v>9720.3803099999986</v>
      </c>
      <c r="F8" s="599">
        <v>10593.363869999997</v>
      </c>
      <c r="G8" s="598"/>
      <c r="H8" s="411"/>
    </row>
    <row r="9" spans="1:10" s="35" customFormat="1" ht="15.75" customHeight="1">
      <c r="B9" s="39" t="str">
        <f>'52'!B10</f>
        <v>Abril</v>
      </c>
      <c r="C9" s="147">
        <v>8924.0339999999997</v>
      </c>
      <c r="D9" s="89">
        <v>13435</v>
      </c>
      <c r="E9" s="599">
        <v>11090</v>
      </c>
      <c r="F9" s="599">
        <v>16660</v>
      </c>
      <c r="G9" s="598"/>
      <c r="H9" s="134"/>
      <c r="I9" s="482"/>
    </row>
    <row r="10" spans="1:10" s="35" customFormat="1" ht="15.75" customHeight="1">
      <c r="B10" s="39" t="str">
        <f>'52'!B11</f>
        <v>Mayo</v>
      </c>
      <c r="C10" s="147">
        <v>13123.982</v>
      </c>
      <c r="D10" s="89">
        <v>15360</v>
      </c>
      <c r="E10" s="599">
        <v>10562</v>
      </c>
      <c r="F10" s="599">
        <v>14952</v>
      </c>
      <c r="G10" s="598"/>
    </row>
    <row r="11" spans="1:10" s="35" customFormat="1" ht="15.75" customHeight="1">
      <c r="B11" s="39" t="str">
        <f>'52'!B12</f>
        <v>Junio</v>
      </c>
      <c r="C11" s="147">
        <v>12962.114</v>
      </c>
      <c r="D11" s="89">
        <v>11595.6</v>
      </c>
      <c r="E11" s="599">
        <v>10405</v>
      </c>
      <c r="F11" s="599">
        <v>15182</v>
      </c>
      <c r="G11" s="598"/>
      <c r="H11" s="260"/>
    </row>
    <row r="12" spans="1:10" s="35" customFormat="1" ht="15.75" customHeight="1">
      <c r="B12" s="39" t="str">
        <f>'52'!B13</f>
        <v>Julio</v>
      </c>
      <c r="C12" s="147">
        <v>12560.826999999999</v>
      </c>
      <c r="D12" s="89">
        <v>10589</v>
      </c>
      <c r="E12" s="599">
        <v>9905</v>
      </c>
      <c r="F12" s="599">
        <v>19199</v>
      </c>
      <c r="G12" s="598"/>
    </row>
    <row r="13" spans="1:10" s="35" customFormat="1" ht="15.75" customHeight="1">
      <c r="B13" s="39" t="str">
        <f>'52'!B14</f>
        <v>Agosto</v>
      </c>
      <c r="C13" s="147">
        <v>14281.903</v>
      </c>
      <c r="D13" s="147">
        <v>12381</v>
      </c>
      <c r="E13" s="599">
        <v>11502</v>
      </c>
      <c r="F13" s="599">
        <v>19294</v>
      </c>
      <c r="G13" s="598"/>
    </row>
    <row r="14" spans="1:10" s="35" customFormat="1" ht="15.75" customHeight="1">
      <c r="B14" s="39" t="str">
        <f>'52'!B15</f>
        <v>Septiembre</v>
      </c>
      <c r="C14" s="147">
        <v>9888.2260000000006</v>
      </c>
      <c r="D14" s="147">
        <v>6745</v>
      </c>
      <c r="E14" s="599">
        <v>11560</v>
      </c>
      <c r="F14" s="599">
        <v>21882</v>
      </c>
      <c r="G14" s="598"/>
      <c r="H14" s="191"/>
    </row>
    <row r="15" spans="1:10" s="35" customFormat="1" ht="15.75" customHeight="1">
      <c r="B15" s="39" t="str">
        <f>'52'!B16</f>
        <v>Octubre</v>
      </c>
      <c r="C15" s="147">
        <v>8391.1949999999997</v>
      </c>
      <c r="D15" s="147">
        <v>11079</v>
      </c>
      <c r="E15" s="599">
        <v>8853</v>
      </c>
      <c r="F15" s="599">
        <v>13942</v>
      </c>
      <c r="G15" s="598"/>
    </row>
    <row r="16" spans="1:10" s="35" customFormat="1" ht="15.75" customHeight="1">
      <c r="B16" s="39" t="str">
        <f>'52'!B17</f>
        <v>Noviembre</v>
      </c>
      <c r="C16" s="147">
        <v>13242.468999999999</v>
      </c>
      <c r="D16" s="147">
        <v>10817</v>
      </c>
      <c r="E16" s="599">
        <v>11852</v>
      </c>
      <c r="F16" s="599">
        <v>6854</v>
      </c>
      <c r="G16" s="598"/>
    </row>
    <row r="17" spans="2:12" s="35" customFormat="1" ht="15.75" customHeight="1">
      <c r="B17" s="39" t="str">
        <f>'52'!B18</f>
        <v>Diciembre</v>
      </c>
      <c r="C17" s="147">
        <v>7286</v>
      </c>
      <c r="D17" s="147">
        <v>8315</v>
      </c>
      <c r="E17" s="599">
        <v>11328</v>
      </c>
      <c r="F17" s="599">
        <v>9879</v>
      </c>
      <c r="G17" s="598"/>
    </row>
    <row r="18" spans="2:12" s="35" customFormat="1" ht="15.75" customHeight="1">
      <c r="B18" s="39" t="s">
        <v>64</v>
      </c>
      <c r="C18" s="89">
        <v>131211.84099999999</v>
      </c>
      <c r="D18" s="89">
        <f>SUM(D6:D17)</f>
        <v>133366.25400000002</v>
      </c>
      <c r="E18" s="599">
        <f>SUM(E6:E17)</f>
        <v>126281.10111</v>
      </c>
      <c r="F18" s="599">
        <f>SUM(F6:F17)</f>
        <v>167355.36387</v>
      </c>
      <c r="G18" s="598"/>
      <c r="H18" s="191"/>
      <c r="I18" s="18"/>
      <c r="J18" s="191"/>
      <c r="K18" s="491"/>
      <c r="L18" s="191"/>
    </row>
    <row r="19" spans="2:12" ht="18" customHeight="1">
      <c r="B19" s="1138" t="s">
        <v>122</v>
      </c>
      <c r="C19" s="1138"/>
      <c r="D19" s="1138"/>
      <c r="E19" s="1138"/>
      <c r="F19" s="1138"/>
      <c r="G19" s="1138"/>
      <c r="H19" s="339"/>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D18:F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pageSetUpPr fitToPage="1"/>
  </sheetPr>
  <dimension ref="B1:AB39"/>
  <sheetViews>
    <sheetView topLeftCell="A4" zoomScaleNormal="100" workbookViewId="0">
      <selection activeCell="O8" sqref="O8"/>
    </sheetView>
  </sheetViews>
  <sheetFormatPr baseColWidth="10" defaultColWidth="10.90625" defaultRowHeight="12"/>
  <cols>
    <col min="1" max="1" width="1.26953125" style="1" customWidth="1"/>
    <col min="2" max="2" width="8.453125" style="1" customWidth="1"/>
    <col min="3" max="4" width="4.90625" style="1" customWidth="1"/>
    <col min="5" max="6" width="4.90625" style="142" customWidth="1"/>
    <col min="7" max="10" width="4.90625" style="772" customWidth="1"/>
    <col min="11" max="12" width="5.81640625" style="772" customWidth="1"/>
    <col min="13" max="13" width="4.7265625" style="1" bestFit="1" customWidth="1"/>
    <col min="14" max="14" width="6" style="16" customWidth="1"/>
    <col min="15" max="15" width="6.453125" style="16" bestFit="1" customWidth="1"/>
    <col min="16" max="16" width="6.1796875" style="16" bestFit="1" customWidth="1"/>
    <col min="17" max="17" width="5.90625" style="16" customWidth="1"/>
    <col min="18" max="18" width="7.6328125" style="972" customWidth="1"/>
    <col min="19" max="19" width="5.90625" style="972" customWidth="1"/>
    <col min="20" max="20" width="6.26953125" style="972" bestFit="1" customWidth="1"/>
    <col min="21" max="21" width="5.26953125" style="972" customWidth="1"/>
    <col min="22" max="22" width="10.90625" style="972"/>
    <col min="23" max="23" width="10.90625" style="872"/>
    <col min="24" max="27" width="10.90625" style="1"/>
    <col min="28" max="28" width="4.7265625" style="1" customWidth="1"/>
    <col min="29" max="16384" width="10.90625" style="1"/>
  </cols>
  <sheetData>
    <row r="1" spans="2:23" s="23" customFormat="1" ht="12.75">
      <c r="B1" s="1098" t="s">
        <v>4</v>
      </c>
      <c r="C1" s="1098"/>
      <c r="D1" s="1098"/>
      <c r="E1" s="1098"/>
      <c r="F1" s="1098"/>
      <c r="G1" s="1098"/>
      <c r="H1" s="1098"/>
      <c r="I1" s="1098"/>
      <c r="J1" s="1098"/>
      <c r="K1" s="1098"/>
      <c r="L1" s="1098"/>
      <c r="M1" s="1098"/>
      <c r="N1" s="26"/>
      <c r="O1" s="26"/>
      <c r="P1" s="26"/>
      <c r="Q1" s="35"/>
      <c r="R1" s="590" t="str">
        <f>C5</f>
        <v>Argentina</v>
      </c>
      <c r="S1" s="590" t="str">
        <f>E5</f>
        <v>Uruguay</v>
      </c>
      <c r="T1" s="590" t="str">
        <f>I5</f>
        <v>Pakistán</v>
      </c>
      <c r="U1" s="967" t="str">
        <f>G5</f>
        <v>Paraguay</v>
      </c>
      <c r="V1" s="967" t="s">
        <v>59</v>
      </c>
      <c r="W1" s="774"/>
    </row>
    <row r="2" spans="2:23" s="23" customFormat="1" ht="18">
      <c r="B2" s="1104" t="s">
        <v>254</v>
      </c>
      <c r="C2" s="1104"/>
      <c r="D2" s="1104"/>
      <c r="E2" s="1104"/>
      <c r="F2" s="1104"/>
      <c r="G2" s="1104"/>
      <c r="H2" s="1104"/>
      <c r="I2" s="1104"/>
      <c r="J2" s="1104"/>
      <c r="K2" s="1104"/>
      <c r="L2" s="1104"/>
      <c r="M2" s="1104"/>
      <c r="N2" s="26"/>
      <c r="P2" s="26"/>
      <c r="Q2" s="35"/>
      <c r="R2" s="979">
        <f>D20</f>
        <v>0.28399583056297178</v>
      </c>
      <c r="S2" s="979">
        <f>F20</f>
        <v>3.4693963420985297E-2</v>
      </c>
      <c r="T2" s="979">
        <f>J20</f>
        <v>8.6665261984826894E-2</v>
      </c>
      <c r="U2" s="980">
        <f>H20</f>
        <v>0.2706505726099061</v>
      </c>
      <c r="V2" s="980">
        <f>1-(SUM(U2+T2+S2+R2))</f>
        <v>0.32399437142130993</v>
      </c>
      <c r="W2" s="774"/>
    </row>
    <row r="3" spans="2:23" s="23" customFormat="1" ht="12.75">
      <c r="B3" s="1160" t="s">
        <v>676</v>
      </c>
      <c r="C3" s="1160"/>
      <c r="D3" s="1160"/>
      <c r="E3" s="1160"/>
      <c r="F3" s="1160"/>
      <c r="G3" s="1160"/>
      <c r="H3" s="1160"/>
      <c r="I3" s="1160"/>
      <c r="J3" s="1160"/>
      <c r="K3" s="1160"/>
      <c r="L3" s="1160"/>
      <c r="M3" s="1160"/>
      <c r="N3" s="26"/>
      <c r="P3" s="26"/>
      <c r="Q3" s="36"/>
      <c r="R3" s="981"/>
      <c r="S3" s="981"/>
      <c r="T3" s="981"/>
      <c r="U3" s="981"/>
      <c r="V3" s="981"/>
      <c r="W3" s="774"/>
    </row>
    <row r="4" spans="2:23" s="23" customFormat="1" ht="12.75">
      <c r="B4" s="535"/>
      <c r="C4" s="535"/>
      <c r="D4" s="535"/>
      <c r="E4" s="535"/>
      <c r="F4" s="535"/>
      <c r="G4" s="925"/>
      <c r="H4" s="925"/>
      <c r="I4" s="925"/>
      <c r="J4" s="925"/>
      <c r="K4" s="925"/>
      <c r="L4" s="925"/>
      <c r="M4" s="535"/>
      <c r="N4" s="26"/>
      <c r="P4" s="26"/>
      <c r="Q4" s="36"/>
      <c r="R4" s="981"/>
      <c r="S4" s="981"/>
      <c r="T4" s="981"/>
      <c r="U4" s="981"/>
      <c r="V4" s="981"/>
      <c r="W4" s="774"/>
    </row>
    <row r="5" spans="2:23" s="35" customFormat="1" ht="15.75" customHeight="1">
      <c r="B5" s="272" t="s">
        <v>225</v>
      </c>
      <c r="C5" s="1177" t="s">
        <v>9</v>
      </c>
      <c r="D5" s="1177"/>
      <c r="E5" s="1293" t="s">
        <v>309</v>
      </c>
      <c r="F5" s="1293"/>
      <c r="G5" s="1359" t="s">
        <v>200</v>
      </c>
      <c r="H5" s="1359"/>
      <c r="I5" s="1366" t="s">
        <v>307</v>
      </c>
      <c r="J5" s="1367"/>
      <c r="K5" s="1362" t="s">
        <v>64</v>
      </c>
      <c r="L5" s="1363"/>
      <c r="M5" s="1364"/>
      <c r="N5" s="36"/>
      <c r="P5" s="36"/>
      <c r="Q5" s="36"/>
      <c r="R5" s="967"/>
      <c r="S5" s="967"/>
      <c r="T5" s="967"/>
      <c r="U5" s="967"/>
      <c r="V5" s="967"/>
      <c r="W5" s="774"/>
    </row>
    <row r="6" spans="2:23" s="35" customFormat="1" ht="15.75" customHeight="1">
      <c r="B6" s="39"/>
      <c r="C6" s="412">
        <v>2020</v>
      </c>
      <c r="D6" s="412">
        <v>2021</v>
      </c>
      <c r="E6" s="412">
        <v>2020</v>
      </c>
      <c r="F6" s="412">
        <v>2021</v>
      </c>
      <c r="G6" s="926">
        <v>2020</v>
      </c>
      <c r="H6" s="926">
        <v>2021</v>
      </c>
      <c r="I6" s="926">
        <v>2020</v>
      </c>
      <c r="J6" s="926">
        <v>2021</v>
      </c>
      <c r="K6" s="926">
        <v>2020</v>
      </c>
      <c r="L6" s="926">
        <v>2021</v>
      </c>
      <c r="M6" s="413" t="s">
        <v>8</v>
      </c>
      <c r="N6" s="36"/>
      <c r="P6" s="36"/>
      <c r="Q6" s="36"/>
      <c r="R6" s="967"/>
      <c r="S6" s="967"/>
      <c r="T6" s="967"/>
      <c r="U6" s="967"/>
      <c r="V6" s="967"/>
      <c r="W6" s="774"/>
    </row>
    <row r="7" spans="2:23" s="35" customFormat="1" ht="15.75" customHeight="1">
      <c r="B7" s="39" t="s">
        <v>47</v>
      </c>
      <c r="C7" s="315">
        <v>3683.4</v>
      </c>
      <c r="D7" s="315">
        <v>2671.4</v>
      </c>
      <c r="E7" s="315">
        <v>1064</v>
      </c>
      <c r="F7" s="315">
        <v>360.00200000000001</v>
      </c>
      <c r="G7" s="927">
        <v>2826.64</v>
      </c>
      <c r="H7" s="927">
        <v>1233.4000000000001</v>
      </c>
      <c r="I7" s="927">
        <v>0</v>
      </c>
      <c r="J7" s="927">
        <v>330</v>
      </c>
      <c r="K7" s="927">
        <v>8802.5863700000009</v>
      </c>
      <c r="L7" s="927">
        <v>8285</v>
      </c>
      <c r="M7" s="427">
        <f>L7/K7*100-100</f>
        <v>-5.8799351491055063</v>
      </c>
      <c r="N7" s="36"/>
      <c r="O7" s="414"/>
      <c r="P7" s="414"/>
      <c r="Q7" s="36"/>
      <c r="R7" s="967"/>
      <c r="S7" s="967"/>
      <c r="T7" s="967"/>
      <c r="U7" s="967"/>
      <c r="V7" s="967"/>
      <c r="W7" s="774"/>
    </row>
    <row r="8" spans="2:23" s="35" customFormat="1" ht="15.75" customHeight="1">
      <c r="B8" s="39" t="s">
        <v>48</v>
      </c>
      <c r="C8" s="315">
        <v>5046.8</v>
      </c>
      <c r="D8" s="315">
        <v>2568.4079999999999</v>
      </c>
      <c r="E8" s="315">
        <v>1996.78</v>
      </c>
      <c r="F8" s="315">
        <v>280.11200000000002</v>
      </c>
      <c r="G8" s="927">
        <v>2555.0079999999998</v>
      </c>
      <c r="H8" s="927">
        <v>3760.1840000000002</v>
      </c>
      <c r="I8" s="927">
        <v>160</v>
      </c>
      <c r="J8" s="927">
        <v>1269</v>
      </c>
      <c r="K8" s="927">
        <v>10115.096129999998</v>
      </c>
      <c r="L8" s="927">
        <v>10165.29904</v>
      </c>
      <c r="M8" s="427">
        <f>L8/K8*100-100</f>
        <v>0.49631668700710918</v>
      </c>
      <c r="N8" s="36"/>
      <c r="O8" s="414"/>
      <c r="P8" s="36"/>
      <c r="Q8" s="36"/>
      <c r="R8" s="967"/>
      <c r="S8" s="967"/>
      <c r="T8" s="967"/>
      <c r="U8" s="967"/>
      <c r="V8" s="967"/>
      <c r="W8" s="774"/>
    </row>
    <row r="9" spans="2:23" s="35" customFormat="1" ht="15.75" customHeight="1">
      <c r="B9" s="39" t="s">
        <v>49</v>
      </c>
      <c r="C9" s="315">
        <v>5865.3209999999999</v>
      </c>
      <c r="D9" s="315"/>
      <c r="E9" s="315">
        <v>1064</v>
      </c>
      <c r="F9" s="315"/>
      <c r="G9" s="927">
        <v>3342.6877999999997</v>
      </c>
      <c r="H9" s="927"/>
      <c r="I9" s="927">
        <v>162</v>
      </c>
      <c r="J9" s="927"/>
      <c r="K9" s="927">
        <v>10593.363869999997</v>
      </c>
      <c r="L9" s="927"/>
      <c r="M9" s="427"/>
      <c r="N9" s="36"/>
      <c r="O9" s="414"/>
      <c r="P9" s="36"/>
      <c r="Q9" s="961"/>
      <c r="R9" s="982"/>
      <c r="S9" s="982"/>
      <c r="T9" s="982"/>
      <c r="U9" s="967"/>
      <c r="V9" s="967"/>
      <c r="W9" s="774"/>
    </row>
    <row r="10" spans="2:23" s="35" customFormat="1" ht="15.75" customHeight="1">
      <c r="B10" s="39" t="s">
        <v>57</v>
      </c>
      <c r="C10" s="315">
        <v>8930.14</v>
      </c>
      <c r="D10" s="315"/>
      <c r="E10" s="315">
        <v>1064</v>
      </c>
      <c r="F10" s="315"/>
      <c r="G10" s="927">
        <v>5843.2860000000001</v>
      </c>
      <c r="H10" s="927"/>
      <c r="I10" s="927">
        <v>25.001000000000001</v>
      </c>
      <c r="J10" s="927"/>
      <c r="K10" s="927">
        <v>16660.440490000001</v>
      </c>
      <c r="L10" s="927"/>
      <c r="M10" s="427"/>
      <c r="N10" s="36"/>
      <c r="O10" s="414"/>
      <c r="P10" s="36"/>
      <c r="Q10" s="197"/>
      <c r="R10" s="967"/>
      <c r="S10" s="967"/>
      <c r="T10" s="967"/>
      <c r="U10" s="967"/>
      <c r="V10" s="967"/>
      <c r="W10" s="774"/>
    </row>
    <row r="11" spans="2:23" s="35" customFormat="1" ht="15.75" customHeight="1">
      <c r="B11" s="39" t="s">
        <v>58</v>
      </c>
      <c r="C11" s="315">
        <v>6266.8959999999997</v>
      </c>
      <c r="D11" s="315"/>
      <c r="E11" s="315">
        <v>1260</v>
      </c>
      <c r="F11" s="315"/>
      <c r="G11" s="927">
        <v>6156.1279999999997</v>
      </c>
      <c r="H11" s="927"/>
      <c r="I11" s="927">
        <v>50</v>
      </c>
      <c r="J11" s="927"/>
      <c r="K11" s="927">
        <v>14951.71522</v>
      </c>
      <c r="L11" s="927"/>
      <c r="M11" s="427"/>
      <c r="N11" s="36"/>
      <c r="O11" s="414"/>
      <c r="P11" s="36"/>
      <c r="Q11" s="197"/>
      <c r="R11" s="967"/>
      <c r="S11" s="967"/>
      <c r="T11" s="967"/>
      <c r="U11" s="967"/>
      <c r="V11" s="967"/>
      <c r="W11" s="774"/>
    </row>
    <row r="12" spans="2:23" s="35" customFormat="1" ht="15.75" customHeight="1">
      <c r="B12" s="39" t="s">
        <v>50</v>
      </c>
      <c r="C12" s="315">
        <v>6958.9261999999999</v>
      </c>
      <c r="D12" s="315"/>
      <c r="E12" s="315">
        <v>1221.92</v>
      </c>
      <c r="F12" s="315"/>
      <c r="G12" s="927">
        <v>5956.6</v>
      </c>
      <c r="H12" s="927"/>
      <c r="I12" s="927">
        <v>164.97454999999999</v>
      </c>
      <c r="J12" s="927"/>
      <c r="K12" s="927">
        <v>15181.77275</v>
      </c>
      <c r="L12" s="927"/>
      <c r="M12" s="427"/>
      <c r="N12" s="36"/>
      <c r="O12" s="414"/>
      <c r="P12" s="36"/>
      <c r="Q12" s="197"/>
      <c r="R12" s="967"/>
      <c r="S12" s="967"/>
      <c r="T12" s="967"/>
      <c r="U12" s="967"/>
      <c r="V12" s="967"/>
      <c r="W12" s="774"/>
    </row>
    <row r="13" spans="2:23" s="35" customFormat="1" ht="15.75" customHeight="1">
      <c r="B13" s="39" t="s">
        <v>51</v>
      </c>
      <c r="C13" s="315">
        <v>8011.84</v>
      </c>
      <c r="D13" s="315"/>
      <c r="E13" s="315">
        <v>1960</v>
      </c>
      <c r="F13" s="315"/>
      <c r="G13" s="927">
        <v>8029.2</v>
      </c>
      <c r="H13" s="927"/>
      <c r="I13" s="927">
        <v>3.36</v>
      </c>
      <c r="J13" s="927"/>
      <c r="K13" s="927">
        <v>19198.67109</v>
      </c>
      <c r="L13" s="927"/>
      <c r="M13" s="427"/>
      <c r="N13" s="36"/>
      <c r="O13" s="414"/>
      <c r="P13" s="36"/>
      <c r="Q13" s="197"/>
      <c r="R13" s="967"/>
      <c r="S13" s="967"/>
      <c r="T13" s="967"/>
      <c r="U13" s="967"/>
      <c r="V13" s="967"/>
      <c r="W13" s="774"/>
    </row>
    <row r="14" spans="2:23" s="35" customFormat="1" ht="15.75" customHeight="1">
      <c r="B14" s="39" t="s">
        <v>52</v>
      </c>
      <c r="C14" s="315">
        <v>8167.3909199999998</v>
      </c>
      <c r="D14" s="315"/>
      <c r="E14" s="315">
        <v>1079</v>
      </c>
      <c r="F14" s="315"/>
      <c r="G14" s="927">
        <v>8890.6820000000007</v>
      </c>
      <c r="H14" s="927"/>
      <c r="I14" s="927">
        <v>150</v>
      </c>
      <c r="J14" s="927"/>
      <c r="K14" s="927">
        <v>19293.829839999999</v>
      </c>
      <c r="L14" s="927"/>
      <c r="M14" s="427"/>
      <c r="N14" s="36"/>
      <c r="O14" s="414"/>
      <c r="P14" s="36"/>
      <c r="Q14" s="197"/>
      <c r="R14" s="967"/>
      <c r="S14" s="967"/>
      <c r="T14" s="967"/>
      <c r="U14" s="967"/>
      <c r="V14" s="967"/>
      <c r="W14" s="774"/>
    </row>
    <row r="15" spans="2:23" s="35" customFormat="1" ht="15.75" customHeight="1">
      <c r="B15" s="39" t="s">
        <v>53</v>
      </c>
      <c r="C15" s="315">
        <v>13370.9</v>
      </c>
      <c r="D15" s="315"/>
      <c r="E15" s="315">
        <v>1229</v>
      </c>
      <c r="F15" s="315"/>
      <c r="G15" s="927">
        <v>4430.1000000000004</v>
      </c>
      <c r="H15" s="927"/>
      <c r="I15" s="927">
        <v>489.36</v>
      </c>
      <c r="J15" s="927"/>
      <c r="K15" s="927">
        <v>21881.643230000001</v>
      </c>
      <c r="L15" s="927"/>
      <c r="M15" s="427"/>
      <c r="N15" s="36"/>
      <c r="O15" s="734"/>
      <c r="P15" s="36"/>
      <c r="Q15" s="197"/>
      <c r="R15" s="967"/>
      <c r="S15" s="967"/>
      <c r="T15" s="967"/>
      <c r="U15" s="967"/>
      <c r="V15" s="967"/>
      <c r="W15" s="774"/>
    </row>
    <row r="16" spans="2:23" s="35" customFormat="1" ht="15.75" customHeight="1">
      <c r="B16" s="39" t="s">
        <v>54</v>
      </c>
      <c r="C16" s="315">
        <v>6652.49</v>
      </c>
      <c r="D16" s="315"/>
      <c r="E16" s="315">
        <v>2314</v>
      </c>
      <c r="F16" s="315"/>
      <c r="G16" s="927">
        <v>3890.8</v>
      </c>
      <c r="H16" s="927"/>
      <c r="I16" s="927">
        <v>25</v>
      </c>
      <c r="J16" s="927"/>
      <c r="K16" s="927">
        <v>13942.341370000004</v>
      </c>
      <c r="L16" s="927"/>
      <c r="M16" s="427"/>
      <c r="O16" s="414"/>
      <c r="P16" s="897"/>
      <c r="Q16" s="197"/>
      <c r="R16" s="967" t="s">
        <v>631</v>
      </c>
      <c r="S16" s="967"/>
      <c r="T16" s="967"/>
      <c r="U16" s="967"/>
      <c r="V16" s="967"/>
      <c r="W16" s="774"/>
    </row>
    <row r="17" spans="2:27" s="35" customFormat="1" ht="15.75" customHeight="1">
      <c r="B17" s="39" t="s">
        <v>55</v>
      </c>
      <c r="C17" s="315">
        <v>2060.3000000000002</v>
      </c>
      <c r="D17" s="315"/>
      <c r="E17" s="315">
        <v>1932</v>
      </c>
      <c r="F17" s="315"/>
      <c r="G17" s="927">
        <v>1319.4</v>
      </c>
      <c r="H17" s="927"/>
      <c r="I17" s="927">
        <v>752</v>
      </c>
      <c r="J17" s="927"/>
      <c r="K17" s="927">
        <v>6853.6396699999996</v>
      </c>
      <c r="L17" s="927"/>
      <c r="M17" s="427"/>
      <c r="N17" s="36"/>
      <c r="O17" s="415"/>
      <c r="P17" s="536"/>
      <c r="Q17" s="197"/>
      <c r="R17" s="967"/>
      <c r="S17" s="967"/>
      <c r="T17" s="967"/>
      <c r="U17" s="967"/>
      <c r="V17" s="967"/>
      <c r="W17" s="774"/>
    </row>
    <row r="18" spans="2:27" s="35" customFormat="1" ht="15.75" customHeight="1">
      <c r="B18" s="39" t="s">
        <v>56</v>
      </c>
      <c r="C18" s="315">
        <v>2014</v>
      </c>
      <c r="D18" s="315"/>
      <c r="E18" s="315">
        <v>893</v>
      </c>
      <c r="F18" s="315"/>
      <c r="G18" s="927">
        <v>429.8</v>
      </c>
      <c r="H18" s="927"/>
      <c r="I18" s="927">
        <v>1294</v>
      </c>
      <c r="J18" s="927"/>
      <c r="K18" s="927">
        <v>9879.2945199999995</v>
      </c>
      <c r="L18" s="927"/>
      <c r="M18" s="427"/>
      <c r="N18" s="36"/>
      <c r="O18" s="735"/>
      <c r="P18" s="536"/>
      <c r="Q18" s="197"/>
      <c r="R18" s="967"/>
      <c r="S18" s="967"/>
      <c r="T18" s="967"/>
      <c r="U18" s="967"/>
      <c r="V18" s="967"/>
      <c r="W18" s="774"/>
    </row>
    <row r="19" spans="2:27" s="35" customFormat="1" ht="15.75" customHeight="1">
      <c r="B19" s="430" t="s">
        <v>64</v>
      </c>
      <c r="C19" s="315">
        <f t="shared" ref="C19:L19" si="0">SUM(C7:C18)</f>
        <v>77028.404120000007</v>
      </c>
      <c r="D19" s="315">
        <f t="shared" si="0"/>
        <v>5239.808</v>
      </c>
      <c r="E19" s="315">
        <f t="shared" si="0"/>
        <v>17077.7</v>
      </c>
      <c r="F19" s="315">
        <f t="shared" si="0"/>
        <v>640.11400000000003</v>
      </c>
      <c r="G19" s="927">
        <f t="shared" si="0"/>
        <v>53670.3318</v>
      </c>
      <c r="H19" s="927">
        <f t="shared" si="0"/>
        <v>4993.5840000000007</v>
      </c>
      <c r="I19" s="927">
        <f>SUM(I7:I18)</f>
        <v>3275.6955499999999</v>
      </c>
      <c r="J19" s="927">
        <f>SUM(J7:J18)</f>
        <v>1599</v>
      </c>
      <c r="K19" s="927">
        <f t="shared" si="0"/>
        <v>167354.39455</v>
      </c>
      <c r="L19" s="927">
        <f t="shared" si="0"/>
        <v>18450.299039999998</v>
      </c>
      <c r="M19" s="427"/>
      <c r="N19" s="36"/>
      <c r="O19" s="796"/>
      <c r="P19" s="763"/>
      <c r="Q19" s="197"/>
      <c r="R19" s="967"/>
      <c r="S19" s="967"/>
      <c r="T19" s="967"/>
      <c r="U19" s="967"/>
      <c r="V19" s="967"/>
      <c r="W19" s="774"/>
    </row>
    <row r="20" spans="2:27" s="35" customFormat="1" ht="15.75" customHeight="1">
      <c r="B20" s="483" t="s">
        <v>423</v>
      </c>
      <c r="C20" s="428">
        <f>C19/K19</f>
        <v>0.46027117678697377</v>
      </c>
      <c r="D20" s="428">
        <f>D19/L19</f>
        <v>0.28399583056297178</v>
      </c>
      <c r="E20" s="428">
        <f>E19/K19</f>
        <v>0.10204512433581626</v>
      </c>
      <c r="F20" s="428">
        <f>F19/L19</f>
        <v>3.4693963420985297E-2</v>
      </c>
      <c r="G20" s="928">
        <f>G19/K19</f>
        <v>0.32069867029374644</v>
      </c>
      <c r="H20" s="928">
        <f>H19/L19</f>
        <v>0.2706505726099061</v>
      </c>
      <c r="I20" s="928">
        <f>I19/K19</f>
        <v>1.957340623655586E-2</v>
      </c>
      <c r="J20" s="928">
        <f>J19/L19</f>
        <v>8.6665261984826894E-2</v>
      </c>
      <c r="K20" s="928">
        <f>+K19/K19</f>
        <v>1</v>
      </c>
      <c r="L20" s="928">
        <f>+L19/L19</f>
        <v>1</v>
      </c>
      <c r="M20" s="427"/>
      <c r="N20" s="36"/>
      <c r="O20" s="797"/>
      <c r="P20" s="536"/>
      <c r="Q20" s="197"/>
      <c r="R20" s="967"/>
      <c r="S20" s="967"/>
      <c r="T20" s="967"/>
      <c r="U20" s="967"/>
      <c r="V20" s="967"/>
      <c r="W20" s="774"/>
    </row>
    <row r="21" spans="2:27" s="35" customFormat="1" ht="23.25" customHeight="1">
      <c r="B21" s="1365" t="s">
        <v>421</v>
      </c>
      <c r="C21" s="1365"/>
      <c r="D21" s="1365"/>
      <c r="E21" s="1365"/>
      <c r="F21" s="1365"/>
      <c r="G21" s="1365"/>
      <c r="H21" s="1365"/>
      <c r="I21" s="1365"/>
      <c r="J21" s="1365"/>
      <c r="K21" s="1365"/>
      <c r="L21" s="1365"/>
      <c r="M21" s="1365"/>
      <c r="N21" s="36"/>
      <c r="O21" s="760"/>
      <c r="P21" s="536"/>
      <c r="Q21" s="197"/>
      <c r="R21" s="967"/>
      <c r="S21" s="967"/>
      <c r="T21" s="967"/>
      <c r="U21" s="967"/>
      <c r="V21" s="967"/>
      <c r="W21" s="774"/>
    </row>
    <row r="22" spans="2:27" ht="17.25" customHeight="1">
      <c r="B22" s="1360"/>
      <c r="C22" s="1361"/>
      <c r="D22" s="1361"/>
      <c r="E22" s="1361"/>
      <c r="F22" s="1361"/>
      <c r="G22" s="1361"/>
      <c r="H22" s="1361"/>
      <c r="I22" s="1361"/>
      <c r="J22" s="1361"/>
      <c r="K22" s="1361"/>
      <c r="L22" s="1361"/>
      <c r="M22" s="1361"/>
      <c r="P22" s="898"/>
      <c r="Q22" s="14"/>
    </row>
    <row r="23" spans="2:27" ht="15" customHeight="1">
      <c r="N23" s="1"/>
      <c r="O23" s="1"/>
      <c r="P23" s="536"/>
      <c r="Q23" s="2"/>
      <c r="R23" s="758"/>
      <c r="S23" s="758"/>
      <c r="T23" s="758"/>
    </row>
    <row r="24" spans="2:27" ht="15" customHeight="1">
      <c r="N24" s="1"/>
      <c r="O24" s="1"/>
      <c r="P24" s="536"/>
      <c r="Q24" s="2"/>
      <c r="R24" s="758"/>
      <c r="S24" s="758"/>
      <c r="T24" s="758"/>
    </row>
    <row r="25" spans="2:27" ht="15" customHeight="1">
      <c r="N25" s="1"/>
      <c r="O25" s="1"/>
      <c r="P25" s="536"/>
      <c r="Q25" s="2"/>
      <c r="R25" s="758"/>
      <c r="S25" s="758"/>
      <c r="T25" s="758"/>
      <c r="X25" s="16"/>
      <c r="Y25" s="16"/>
      <c r="Z25" s="16"/>
      <c r="AA25" s="16"/>
    </row>
    <row r="26" spans="2:27" ht="15" customHeight="1">
      <c r="N26" s="1"/>
      <c r="O26" s="1"/>
      <c r="P26" s="536"/>
      <c r="Q26" s="2"/>
      <c r="R26" s="758"/>
      <c r="S26" s="758"/>
      <c r="T26" s="758"/>
    </row>
    <row r="27" spans="2:27" ht="15" customHeight="1">
      <c r="N27" s="1"/>
      <c r="O27" s="1"/>
      <c r="P27" s="536"/>
      <c r="Q27" s="2"/>
      <c r="R27" s="758"/>
      <c r="S27" s="758"/>
      <c r="T27" s="758"/>
    </row>
    <row r="28" spans="2:27" ht="15" customHeight="1">
      <c r="N28" s="1"/>
      <c r="O28" s="1"/>
      <c r="P28" s="2"/>
      <c r="Q28" s="2"/>
      <c r="R28" s="758"/>
      <c r="S28" s="758"/>
      <c r="T28" s="758"/>
    </row>
    <row r="29" spans="2:27" ht="15" customHeight="1">
      <c r="N29" s="1"/>
      <c r="O29" s="1"/>
      <c r="P29" s="1"/>
      <c r="Q29" s="1"/>
      <c r="R29" s="758"/>
      <c r="S29" s="758"/>
      <c r="T29" s="758"/>
    </row>
    <row r="30" spans="2:27" ht="15" customHeight="1">
      <c r="N30" s="1"/>
      <c r="O30" s="1"/>
      <c r="P30" s="1"/>
      <c r="Q30" s="1"/>
      <c r="R30" s="758"/>
      <c r="S30" s="758"/>
      <c r="T30" s="758"/>
    </row>
    <row r="32" spans="2:27" ht="15" customHeight="1">
      <c r="N32" s="1"/>
      <c r="O32" s="1"/>
      <c r="P32" s="1"/>
      <c r="Q32" s="1"/>
      <c r="R32" s="758"/>
      <c r="S32" s="758"/>
      <c r="T32" s="758"/>
    </row>
    <row r="33" spans="2:28" ht="15" customHeight="1">
      <c r="N33" s="1"/>
      <c r="O33" s="1"/>
      <c r="P33" s="1"/>
      <c r="Q33" s="1"/>
      <c r="R33" s="758"/>
      <c r="S33" s="758"/>
      <c r="T33" s="758"/>
      <c r="AB33" s="15"/>
    </row>
    <row r="34" spans="2:28" ht="15" customHeight="1">
      <c r="N34" s="1"/>
      <c r="O34" s="1"/>
      <c r="P34" s="1"/>
      <c r="Q34" s="1"/>
      <c r="R34" s="758"/>
      <c r="S34" s="758"/>
      <c r="T34" s="758"/>
    </row>
    <row r="35" spans="2:28" ht="15" customHeight="1">
      <c r="N35" s="1"/>
      <c r="O35" s="1"/>
      <c r="P35" s="1"/>
      <c r="Q35" s="1"/>
      <c r="R35" s="758"/>
      <c r="S35" s="758"/>
      <c r="T35" s="758"/>
    </row>
    <row r="36" spans="2:28" ht="15" customHeight="1">
      <c r="N36" s="1"/>
      <c r="O36" s="1"/>
      <c r="P36" s="1"/>
      <c r="Q36" s="1"/>
      <c r="R36" s="758"/>
      <c r="S36" s="758"/>
      <c r="T36" s="758"/>
    </row>
    <row r="37" spans="2:28" ht="15" customHeight="1">
      <c r="N37" s="1"/>
      <c r="O37" s="1"/>
      <c r="P37" s="1"/>
      <c r="Q37" s="1"/>
      <c r="R37" s="758"/>
      <c r="S37" s="758"/>
      <c r="T37" s="758"/>
    </row>
    <row r="39" spans="2:28" ht="15.75" customHeight="1">
      <c r="B39" s="1169" t="s">
        <v>421</v>
      </c>
      <c r="C39" s="1169"/>
      <c r="D39" s="1169"/>
      <c r="E39" s="1169"/>
      <c r="F39" s="1169"/>
      <c r="G39" s="1169"/>
      <c r="H39" s="1169"/>
      <c r="I39" s="1169"/>
      <c r="J39" s="1169"/>
      <c r="K39" s="1169"/>
      <c r="L39" s="1169"/>
      <c r="M39" s="1169"/>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 K19 G19 E19 D19 F19 H19 L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pageSetUpPr fitToPage="1"/>
  </sheetPr>
  <dimension ref="B1:X32"/>
  <sheetViews>
    <sheetView zoomScaleNormal="100" workbookViewId="0">
      <selection activeCell="N14" sqref="N14"/>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5" customFormat="1" ht="12.75" customHeight="1">
      <c r="B1" s="1184" t="s">
        <v>38</v>
      </c>
      <c r="C1" s="1184"/>
      <c r="D1" s="1184"/>
      <c r="E1" s="1184"/>
      <c r="F1" s="1184"/>
      <c r="G1" s="1184"/>
      <c r="H1" s="1184"/>
      <c r="I1" s="1184"/>
    </row>
    <row r="2" spans="2:15" s="35" customFormat="1" ht="6" customHeight="1">
      <c r="B2" s="46"/>
      <c r="C2" s="46"/>
      <c r="D2" s="46"/>
      <c r="E2" s="46"/>
      <c r="F2" s="46"/>
      <c r="G2" s="46"/>
      <c r="H2" s="46"/>
    </row>
    <row r="3" spans="2:15" s="35" customFormat="1" ht="12.75">
      <c r="B3" s="1104" t="s">
        <v>315</v>
      </c>
      <c r="C3" s="1104"/>
      <c r="D3" s="1104"/>
      <c r="E3" s="1104"/>
      <c r="F3" s="1104"/>
      <c r="G3" s="1104"/>
      <c r="H3" s="1104"/>
      <c r="I3" s="1104"/>
    </row>
    <row r="4" spans="2:15" s="35" customFormat="1" ht="12.75">
      <c r="B4" s="1160" t="s">
        <v>690</v>
      </c>
      <c r="C4" s="1160"/>
      <c r="D4" s="1160"/>
      <c r="E4" s="1160"/>
      <c r="F4" s="1160"/>
      <c r="G4" s="1160"/>
      <c r="H4" s="1160"/>
      <c r="I4" s="1160"/>
    </row>
    <row r="5" spans="2:15" s="35" customFormat="1" ht="15" customHeight="1">
      <c r="B5" s="1104" t="s">
        <v>316</v>
      </c>
      <c r="C5" s="1104"/>
      <c r="D5" s="1104"/>
      <c r="E5" s="1104"/>
      <c r="F5" s="1104"/>
      <c r="G5" s="1104"/>
      <c r="H5" s="1104"/>
      <c r="I5" s="1104"/>
    </row>
    <row r="6" spans="2:15" s="35" customFormat="1" ht="50.25" customHeight="1">
      <c r="B6" s="233" t="s">
        <v>230</v>
      </c>
      <c r="C6" s="233" t="s">
        <v>317</v>
      </c>
      <c r="D6" s="233" t="s">
        <v>318</v>
      </c>
      <c r="E6" s="233" t="s">
        <v>319</v>
      </c>
      <c r="F6" s="233" t="s">
        <v>320</v>
      </c>
      <c r="G6" s="233" t="s">
        <v>321</v>
      </c>
      <c r="H6" s="233" t="s">
        <v>322</v>
      </c>
      <c r="I6" s="233" t="s">
        <v>323</v>
      </c>
      <c r="M6" s="403"/>
      <c r="N6" s="403"/>
      <c r="O6" s="46"/>
    </row>
    <row r="7" spans="2:15" s="35" customFormat="1" ht="86.45" customHeight="1">
      <c r="B7" s="341" t="s">
        <v>160</v>
      </c>
      <c r="C7" s="351" t="s">
        <v>324</v>
      </c>
      <c r="D7" s="351" t="s">
        <v>325</v>
      </c>
      <c r="E7" s="351" t="s">
        <v>326</v>
      </c>
      <c r="F7" s="351" t="s">
        <v>327</v>
      </c>
      <c r="G7" s="351" t="s">
        <v>328</v>
      </c>
      <c r="H7" s="351" t="s">
        <v>329</v>
      </c>
      <c r="I7" s="351" t="s">
        <v>330</v>
      </c>
      <c r="M7" s="403"/>
      <c r="N7" s="403"/>
      <c r="O7" s="46"/>
    </row>
    <row r="8" spans="2:15" s="35" customFormat="1" ht="15.75" customHeight="1">
      <c r="B8" s="232">
        <v>2014</v>
      </c>
      <c r="C8" s="89">
        <v>1E-3</v>
      </c>
      <c r="D8" s="89">
        <v>82.86</v>
      </c>
      <c r="E8" s="89">
        <v>37927.044999999998</v>
      </c>
      <c r="F8" s="89">
        <v>50009.249000000003</v>
      </c>
      <c r="G8" s="89">
        <v>2240.489</v>
      </c>
      <c r="H8" s="89">
        <v>90176.782999999996</v>
      </c>
      <c r="I8" s="89">
        <v>19488.277999999998</v>
      </c>
      <c r="J8" s="191"/>
      <c r="M8" s="403"/>
      <c r="N8" s="187"/>
      <c r="O8" s="46"/>
    </row>
    <row r="9" spans="2:15" s="35" customFormat="1" ht="15.75" customHeight="1">
      <c r="B9" s="232">
        <v>2015</v>
      </c>
      <c r="C9" s="89">
        <v>0.184</v>
      </c>
      <c r="D9" s="89">
        <v>165.41900000000001</v>
      </c>
      <c r="E9" s="89">
        <v>33427.444000000003</v>
      </c>
      <c r="F9" s="89">
        <v>79329.955000000002</v>
      </c>
      <c r="G9" s="89">
        <v>5746.4930000000004</v>
      </c>
      <c r="H9" s="89">
        <v>118503.89200000001</v>
      </c>
      <c r="I9" s="89">
        <v>23403.947</v>
      </c>
      <c r="J9" s="191"/>
      <c r="M9" s="403"/>
      <c r="N9" s="187"/>
      <c r="O9" s="46"/>
    </row>
    <row r="10" spans="2:15" s="35" customFormat="1" ht="15.75" customHeight="1">
      <c r="B10" s="232">
        <v>2016</v>
      </c>
      <c r="C10" s="89">
        <v>2.65</v>
      </c>
      <c r="D10" s="89">
        <v>245.19800000000001</v>
      </c>
      <c r="E10" s="89">
        <v>32468.589</v>
      </c>
      <c r="F10" s="89">
        <v>63325.135999999999</v>
      </c>
      <c r="G10" s="89">
        <v>8109.7209999999995</v>
      </c>
      <c r="H10" s="89">
        <v>103903.44600000001</v>
      </c>
      <c r="I10" s="89">
        <v>25158.268</v>
      </c>
      <c r="J10" s="191"/>
      <c r="M10" s="403"/>
      <c r="N10" s="187"/>
      <c r="O10" s="46"/>
    </row>
    <row r="11" spans="2:15" s="35" customFormat="1" ht="15.75" customHeight="1">
      <c r="B11" s="232">
        <v>2017</v>
      </c>
      <c r="C11" s="89">
        <v>0</v>
      </c>
      <c r="D11" s="89">
        <v>251</v>
      </c>
      <c r="E11" s="89">
        <v>51251.331999999995</v>
      </c>
      <c r="F11" s="89">
        <v>71736.990999999995</v>
      </c>
      <c r="G11" s="89">
        <v>8223.1779999999999</v>
      </c>
      <c r="H11" s="89">
        <v>131211.50099999999</v>
      </c>
      <c r="I11" s="89">
        <v>23480.124</v>
      </c>
      <c r="J11" s="191"/>
      <c r="M11" s="403"/>
      <c r="N11" s="187"/>
      <c r="O11" s="46"/>
    </row>
    <row r="12" spans="2:15" s="132" customFormat="1" ht="15.75" customHeight="1">
      <c r="B12" s="232">
        <v>2018</v>
      </c>
      <c r="C12" s="89">
        <v>2.6</v>
      </c>
      <c r="D12" s="89">
        <v>132</v>
      </c>
      <c r="E12" s="89">
        <v>34146.11952</v>
      </c>
      <c r="F12" s="89">
        <v>88590.467260000005</v>
      </c>
      <c r="G12" s="89">
        <v>10628.6798</v>
      </c>
      <c r="H12" s="89">
        <v>133365</v>
      </c>
      <c r="I12" s="89">
        <v>30688.84042</v>
      </c>
      <c r="J12" s="435"/>
      <c r="M12" s="438"/>
      <c r="N12" s="538"/>
      <c r="O12" s="138"/>
    </row>
    <row r="13" spans="2:15" s="132" customFormat="1" ht="15.75" customHeight="1">
      <c r="B13" s="232">
        <v>2019</v>
      </c>
      <c r="C13" s="89">
        <v>11</v>
      </c>
      <c r="D13" s="89">
        <v>291</v>
      </c>
      <c r="E13" s="89">
        <v>36413</v>
      </c>
      <c r="F13" s="89">
        <v>84744.584040000016</v>
      </c>
      <c r="G13" s="89">
        <v>5123.49629</v>
      </c>
      <c r="H13" s="89">
        <v>126281.55284999999</v>
      </c>
      <c r="I13" s="89">
        <v>27380.79</v>
      </c>
      <c r="J13" s="435"/>
      <c r="L13" s="435"/>
      <c r="M13" s="438"/>
      <c r="N13" s="538"/>
      <c r="O13" s="138"/>
    </row>
    <row r="14" spans="2:15" s="132" customFormat="1" ht="15.75" customHeight="1">
      <c r="B14" s="948">
        <v>2020</v>
      </c>
      <c r="C14" s="89">
        <v>36.160879999999999</v>
      </c>
      <c r="D14" s="89">
        <v>361.52414999999996</v>
      </c>
      <c r="E14" s="89">
        <v>52918.822890000003</v>
      </c>
      <c r="F14" s="89">
        <v>100601.82218000002</v>
      </c>
      <c r="G14" s="89">
        <v>13833.749479999999</v>
      </c>
      <c r="H14" s="89">
        <v>167354.39455000003</v>
      </c>
      <c r="I14" s="89">
        <v>30916.17628</v>
      </c>
      <c r="J14" s="435"/>
      <c r="L14" s="435"/>
      <c r="M14" s="438"/>
      <c r="N14" s="538"/>
      <c r="O14" s="138"/>
    </row>
    <row r="15" spans="2:15" s="132" customFormat="1" ht="15.75" customHeight="1">
      <c r="B15" s="770" t="s">
        <v>726</v>
      </c>
      <c r="C15" s="89">
        <v>2.8818999999999999</v>
      </c>
      <c r="D15" s="89">
        <v>6.2380600000000008</v>
      </c>
      <c r="E15" s="89">
        <v>5800.2261600000002</v>
      </c>
      <c r="F15" s="89">
        <v>10260.202860000001</v>
      </c>
      <c r="G15" s="89">
        <v>2389.6498000000001</v>
      </c>
      <c r="H15" s="89">
        <v>18450.078819999999</v>
      </c>
      <c r="I15" s="89">
        <v>6548.6326499999996</v>
      </c>
      <c r="J15" s="435"/>
      <c r="L15" s="435"/>
      <c r="M15" s="438"/>
      <c r="N15" s="538"/>
      <c r="O15" s="138"/>
    </row>
    <row r="16" spans="2:15" s="35" customFormat="1" ht="27" customHeight="1">
      <c r="B16" s="1196" t="s">
        <v>725</v>
      </c>
      <c r="C16" s="1196"/>
      <c r="D16" s="1196"/>
      <c r="E16" s="1196"/>
      <c r="F16" s="1196"/>
      <c r="G16" s="1196"/>
      <c r="H16" s="1196"/>
      <c r="I16" s="1196"/>
      <c r="J16" s="191"/>
      <c r="M16" s="46"/>
      <c r="N16" s="46"/>
      <c r="O16" s="46"/>
    </row>
    <row r="17" spans="2:24" ht="29.25" customHeight="1">
      <c r="C17" s="339"/>
      <c r="D17" s="339"/>
      <c r="E17" s="339"/>
      <c r="F17" s="339"/>
      <c r="G17" s="339"/>
      <c r="H17" s="339"/>
      <c r="K17" s="35"/>
      <c r="L17" s="35"/>
      <c r="M17" s="46"/>
      <c r="N17" s="46"/>
      <c r="O17" s="46"/>
    </row>
    <row r="18" spans="2:24" ht="12.75">
      <c r="C18" s="339"/>
      <c r="D18" s="339"/>
      <c r="E18" s="339"/>
      <c r="F18" s="339"/>
      <c r="G18" s="339"/>
      <c r="H18" s="339"/>
      <c r="J18" s="339"/>
      <c r="K18" s="35"/>
      <c r="L18" s="35"/>
      <c r="M18" s="46"/>
      <c r="N18" s="46"/>
      <c r="O18" s="46"/>
    </row>
    <row r="19" spans="2:24">
      <c r="C19" s="339"/>
      <c r="D19" s="339"/>
      <c r="E19" s="339"/>
      <c r="F19" s="339"/>
      <c r="G19" s="339"/>
      <c r="H19" s="339"/>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pageSetUpPr fitToPage="1"/>
  </sheetPr>
  <dimension ref="A1:AG57"/>
  <sheetViews>
    <sheetView topLeftCell="A4" zoomScaleNormal="100" workbookViewId="0">
      <selection activeCell="L17" sqref="L17"/>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5" customFormat="1" ht="12.75" customHeight="1">
      <c r="B1" s="1368" t="s">
        <v>76</v>
      </c>
      <c r="C1" s="1368"/>
      <c r="D1" s="1368"/>
      <c r="E1" s="1368"/>
      <c r="F1" s="1368"/>
      <c r="G1" s="1368"/>
      <c r="L1" s="46"/>
    </row>
    <row r="2" spans="2:20" s="35" customFormat="1" ht="6" customHeight="1">
      <c r="L2" s="46"/>
    </row>
    <row r="3" spans="2:20" s="35" customFormat="1" ht="12.75">
      <c r="B3" s="1104" t="s">
        <v>315</v>
      </c>
      <c r="C3" s="1104"/>
      <c r="D3" s="1104"/>
      <c r="E3" s="1104"/>
      <c r="F3" s="1104"/>
      <c r="G3" s="1104"/>
      <c r="L3" s="46"/>
    </row>
    <row r="4" spans="2:20" s="35" customFormat="1" ht="15" customHeight="1">
      <c r="B4" s="1104" t="s">
        <v>658</v>
      </c>
      <c r="C4" s="1104"/>
      <c r="D4" s="1104"/>
      <c r="E4" s="1104"/>
      <c r="F4" s="1104"/>
      <c r="G4" s="1104"/>
      <c r="L4" s="46"/>
    </row>
    <row r="5" spans="2:20" s="35" customFormat="1" ht="12.75">
      <c r="B5" s="1160" t="s">
        <v>691</v>
      </c>
      <c r="C5" s="1160"/>
      <c r="D5" s="1160"/>
      <c r="E5" s="1160"/>
      <c r="F5" s="1160"/>
      <c r="G5" s="1160"/>
      <c r="L5" s="46"/>
    </row>
    <row r="6" spans="2:20" s="35" customFormat="1" ht="12.75">
      <c r="B6" s="1160" t="s">
        <v>238</v>
      </c>
      <c r="C6" s="1160"/>
      <c r="D6" s="1160"/>
      <c r="E6" s="1160"/>
      <c r="F6" s="1160"/>
      <c r="G6" s="1160"/>
      <c r="L6" s="46"/>
    </row>
    <row r="7" spans="2:20" s="35" customFormat="1" ht="43.5" customHeight="1">
      <c r="B7" s="234" t="str">
        <f>'53'!B6</f>
        <v>Código aduanas</v>
      </c>
      <c r="C7" s="234" t="str">
        <f>'53'!E6</f>
        <v>10063010</v>
      </c>
      <c r="D7" s="234" t="str">
        <f>'53'!F6</f>
        <v>10063020</v>
      </c>
      <c r="E7" s="234" t="str">
        <f>'53'!G6</f>
        <v>10063090</v>
      </c>
      <c r="F7" s="233" t="s">
        <v>402</v>
      </c>
      <c r="G7" s="234" t="str">
        <f>'53'!I6</f>
        <v>10064000</v>
      </c>
      <c r="L7" s="46"/>
    </row>
    <row r="8" spans="2:20" s="35" customFormat="1" ht="81" customHeight="1">
      <c r="B8" s="272" t="s">
        <v>160</v>
      </c>
      <c r="C8" s="238" t="s">
        <v>326</v>
      </c>
      <c r="D8" s="238" t="s">
        <v>331</v>
      </c>
      <c r="E8" s="238" t="s">
        <v>328</v>
      </c>
      <c r="F8" s="351" t="str">
        <f>'53'!H7</f>
        <v>Arroz semi o blanqueado (total)</v>
      </c>
      <c r="G8" s="238" t="str">
        <f>'53'!I7</f>
        <v>Arroz partido</v>
      </c>
      <c r="K8" s="115"/>
      <c r="L8" s="193"/>
    </row>
    <row r="9" spans="2:20" s="35" customFormat="1" ht="15.75" customHeight="1">
      <c r="B9" s="394">
        <v>2014</v>
      </c>
      <c r="C9" s="147">
        <v>582.45726076044014</v>
      </c>
      <c r="D9" s="147">
        <v>548.50757282839425</v>
      </c>
      <c r="E9" s="147">
        <v>875.35253475216177</v>
      </c>
      <c r="F9" s="89">
        <v>567.93874023715057</v>
      </c>
      <c r="G9" s="147">
        <v>398.79743531568829</v>
      </c>
      <c r="J9" s="416"/>
      <c r="K9" s="417"/>
      <c r="L9" s="192"/>
      <c r="M9" s="418"/>
      <c r="P9" s="191"/>
      <c r="Q9" s="191"/>
      <c r="R9" s="191"/>
      <c r="S9" s="191"/>
      <c r="T9" s="191"/>
    </row>
    <row r="10" spans="2:20" s="35" customFormat="1" ht="15.75" customHeight="1">
      <c r="B10" s="394">
        <v>2015</v>
      </c>
      <c r="C10" s="89">
        <v>531.85660859980794</v>
      </c>
      <c r="D10" s="89">
        <v>516.63461789193218</v>
      </c>
      <c r="E10" s="89">
        <v>560.80778311223924</v>
      </c>
      <c r="F10" s="89">
        <v>523.061346988266</v>
      </c>
      <c r="G10" s="89">
        <v>408.69529400318663</v>
      </c>
      <c r="J10" s="416"/>
      <c r="K10" s="417"/>
      <c r="L10" s="192"/>
      <c r="M10" s="418"/>
      <c r="P10" s="191"/>
      <c r="Q10" s="191"/>
      <c r="R10" s="191"/>
      <c r="S10" s="191"/>
      <c r="T10" s="191"/>
    </row>
    <row r="11" spans="2:20" s="35" customFormat="1" ht="15.75" customHeight="1">
      <c r="B11" s="394">
        <v>2016</v>
      </c>
      <c r="C11" s="89">
        <v>511.09590872581498</v>
      </c>
      <c r="D11" s="89">
        <v>447.0824981726056</v>
      </c>
      <c r="E11" s="89">
        <v>551.24066536937585</v>
      </c>
      <c r="F11" s="89">
        <v>475.21552846283851</v>
      </c>
      <c r="G11" s="89">
        <v>381.70725995316155</v>
      </c>
      <c r="J11" s="416"/>
      <c r="K11" s="417"/>
      <c r="L11" s="192"/>
      <c r="M11" s="418"/>
      <c r="P11" s="191"/>
      <c r="Q11" s="191"/>
      <c r="R11" s="191"/>
      <c r="S11" s="191"/>
      <c r="T11" s="191"/>
    </row>
    <row r="12" spans="2:20" s="35" customFormat="1" ht="15.75" customHeight="1">
      <c r="B12" s="394">
        <v>2017</v>
      </c>
      <c r="C12" s="89">
        <v>549</v>
      </c>
      <c r="D12" s="89">
        <v>473</v>
      </c>
      <c r="E12" s="89">
        <v>548</v>
      </c>
      <c r="F12" s="89">
        <v>507</v>
      </c>
      <c r="G12" s="89">
        <v>386</v>
      </c>
      <c r="J12" s="416"/>
      <c r="K12" s="417"/>
      <c r="L12" s="192"/>
      <c r="M12" s="418"/>
      <c r="P12" s="191"/>
      <c r="Q12" s="191"/>
      <c r="R12" s="191"/>
      <c r="S12" s="191"/>
      <c r="T12" s="191"/>
    </row>
    <row r="13" spans="2:20" s="132" customFormat="1" ht="15.75" customHeight="1">
      <c r="B13" s="394">
        <v>2018</v>
      </c>
      <c r="C13" s="89">
        <f>AVERAGE(C3:C12)</f>
        <v>543.60244452151574</v>
      </c>
      <c r="D13" s="89">
        <f>AVERAGE(D3:D12)</f>
        <v>496.30617222323303</v>
      </c>
      <c r="E13" s="89">
        <f>AVERAGE(E3:E12)</f>
        <v>633.85024580844424</v>
      </c>
      <c r="F13" s="89">
        <f>AVERAGE(F3:F12)</f>
        <v>518.3039039220638</v>
      </c>
      <c r="G13" s="89">
        <f>AVERAGE(G3:G12)</f>
        <v>393.7999973180091</v>
      </c>
      <c r="I13" s="442"/>
      <c r="J13" s="439"/>
      <c r="K13" s="440"/>
      <c r="L13" s="443"/>
      <c r="M13" s="441"/>
      <c r="P13" s="435"/>
      <c r="Q13" s="435"/>
      <c r="R13" s="435"/>
      <c r="S13" s="435"/>
      <c r="T13" s="435"/>
    </row>
    <row r="14" spans="2:20" s="132" customFormat="1" ht="15.75" customHeight="1">
      <c r="B14" s="600">
        <v>2019</v>
      </c>
      <c r="C14" s="89">
        <v>530.68294408786574</v>
      </c>
      <c r="D14" s="89">
        <v>439.6641496326306</v>
      </c>
      <c r="E14" s="89">
        <v>646.42421024975886</v>
      </c>
      <c r="F14" s="89">
        <v>472.75245779219557</v>
      </c>
      <c r="G14" s="89">
        <v>357.29194952655001</v>
      </c>
      <c r="I14" s="442"/>
      <c r="J14" s="439"/>
      <c r="K14" s="440"/>
      <c r="L14" s="443"/>
      <c r="M14" s="441"/>
      <c r="P14" s="435"/>
      <c r="Q14" s="435"/>
      <c r="R14" s="435"/>
      <c r="S14" s="435"/>
      <c r="T14" s="435"/>
    </row>
    <row r="15" spans="2:20" s="132" customFormat="1" ht="15.75" customHeight="1">
      <c r="B15" s="600">
        <v>2020</v>
      </c>
      <c r="C15" s="89">
        <v>572.19839573180616</v>
      </c>
      <c r="D15" s="89">
        <v>505.45948706494579</v>
      </c>
      <c r="E15" s="89">
        <v>574.76875640634387</v>
      </c>
      <c r="F15" s="89">
        <v>530.79608413587209</v>
      </c>
      <c r="G15" s="89">
        <v>380.60525246744896</v>
      </c>
      <c r="I15" s="442"/>
      <c r="J15" s="439"/>
      <c r="K15" s="440"/>
      <c r="L15" s="443"/>
      <c r="M15" s="441"/>
      <c r="P15" s="435"/>
      <c r="Q15" s="435"/>
      <c r="R15" s="435"/>
      <c r="S15" s="435"/>
      <c r="T15" s="435"/>
    </row>
    <row r="16" spans="2:20" s="132" customFormat="1" ht="15.75" customHeight="1">
      <c r="B16" s="600" t="s">
        <v>685</v>
      </c>
      <c r="C16" s="89">
        <v>553.46013086045411</v>
      </c>
      <c r="D16" s="89">
        <v>431.80470802914715</v>
      </c>
      <c r="E16" s="89">
        <v>506.52816012685281</v>
      </c>
      <c r="F16" s="89">
        <v>474.26073669739731</v>
      </c>
      <c r="G16" s="89">
        <v>361.54589371980677</v>
      </c>
      <c r="I16" s="442"/>
      <c r="J16" s="439"/>
      <c r="K16" s="440"/>
      <c r="L16" s="443"/>
      <c r="M16" s="441"/>
      <c r="P16" s="435"/>
      <c r="Q16" s="435"/>
      <c r="R16" s="435"/>
      <c r="S16" s="435"/>
      <c r="T16" s="435"/>
    </row>
    <row r="17" spans="2:33" s="70" customFormat="1" ht="30.6" customHeight="1">
      <c r="B17" s="1138" t="s">
        <v>727</v>
      </c>
      <c r="C17" s="1138"/>
      <c r="D17" s="1138"/>
      <c r="E17" s="1138"/>
      <c r="F17" s="1138"/>
      <c r="G17" s="1138"/>
      <c r="L17" s="289"/>
    </row>
    <row r="18" spans="2:33">
      <c r="C18" s="419"/>
      <c r="D18" s="419"/>
      <c r="E18" s="419"/>
      <c r="F18" s="419"/>
      <c r="G18" s="419"/>
      <c r="I18" s="20"/>
      <c r="J18" s="20"/>
      <c r="K18" s="20"/>
    </row>
    <row r="19" spans="2:33">
      <c r="I19" s="20"/>
      <c r="J19" s="20"/>
      <c r="K19" s="20"/>
    </row>
    <row r="20" spans="2:33">
      <c r="I20" s="20"/>
      <c r="J20" s="20"/>
      <c r="K20" s="20"/>
    </row>
    <row r="21" spans="2:33">
      <c r="I21" s="20"/>
      <c r="J21" s="20"/>
      <c r="K21" s="20"/>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256"/>
      <c r="C34" s="1256"/>
      <c r="D34" s="1256"/>
      <c r="E34" s="1256"/>
      <c r="F34" s="1256"/>
      <c r="G34" s="1256"/>
      <c r="AB34" s="6"/>
      <c r="AC34" s="7"/>
      <c r="AD34" s="7"/>
      <c r="AE34" s="7"/>
    </row>
    <row r="35" spans="1:33" ht="15" customHeight="1">
      <c r="B35" s="1256"/>
      <c r="C35" s="1256"/>
      <c r="D35" s="1256"/>
      <c r="E35" s="1256"/>
      <c r="F35" s="1256"/>
      <c r="G35" s="1256"/>
      <c r="AB35" s="6"/>
      <c r="AC35" s="7"/>
      <c r="AD35" s="7"/>
      <c r="AE35" s="7"/>
    </row>
    <row r="36" spans="1:33" ht="15" customHeight="1">
      <c r="AB36" s="6"/>
      <c r="AC36" s="7"/>
      <c r="AD36" s="7"/>
      <c r="AE36" s="7"/>
    </row>
    <row r="37" spans="1:33" ht="15" customHeight="1">
      <c r="AB37" s="6"/>
      <c r="AC37" s="7"/>
      <c r="AD37" s="7"/>
      <c r="AE37" s="7"/>
    </row>
    <row r="38" spans="1:33" ht="15" customHeight="1">
      <c r="AB38" s="420"/>
      <c r="AC38" s="420"/>
      <c r="AD38" s="420"/>
      <c r="AE38" s="420"/>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pageSetUpPr fitToPage="1"/>
  </sheetPr>
  <dimension ref="B1:U93"/>
  <sheetViews>
    <sheetView zoomScaleNormal="100" zoomScaleSheetLayoutView="75" workbookViewId="0">
      <selection activeCell="M20" sqref="M20"/>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3" customFormat="1" ht="12.75">
      <c r="B1" s="1104" t="s">
        <v>77</v>
      </c>
      <c r="C1" s="1104"/>
      <c r="D1" s="1104"/>
      <c r="E1" s="1104"/>
      <c r="F1" s="1104"/>
      <c r="G1" s="1104"/>
      <c r="H1" s="1104"/>
    </row>
    <row r="2" spans="2:21" s="23" customFormat="1" ht="12.75">
      <c r="B2" s="31"/>
      <c r="G2" s="32"/>
    </row>
    <row r="3" spans="2:21" s="23" customFormat="1" ht="12.75">
      <c r="B3" s="1104" t="s">
        <v>83</v>
      </c>
      <c r="C3" s="1104"/>
      <c r="D3" s="1104"/>
      <c r="E3" s="1104"/>
      <c r="F3" s="1104"/>
      <c r="G3" s="1104"/>
      <c r="H3" s="1104"/>
    </row>
    <row r="4" spans="2:21" s="23" customFormat="1" ht="12.75">
      <c r="B4" s="1104" t="s">
        <v>684</v>
      </c>
      <c r="C4" s="1104"/>
      <c r="D4" s="1104"/>
      <c r="E4" s="1104"/>
      <c r="F4" s="1104"/>
      <c r="G4" s="1104"/>
      <c r="H4" s="1104"/>
    </row>
    <row r="5" spans="2:21" s="23" customFormat="1" ht="12.75">
      <c r="B5" s="1104" t="s">
        <v>332</v>
      </c>
      <c r="C5" s="1104"/>
      <c r="D5" s="1104"/>
      <c r="E5" s="1104"/>
      <c r="F5" s="1104"/>
      <c r="G5" s="1104"/>
      <c r="H5" s="1104"/>
    </row>
    <row r="6" spans="2:21" s="35" customFormat="1" ht="15.75" customHeight="1">
      <c r="B6" s="421"/>
      <c r="C6" s="412">
        <v>2016</v>
      </c>
      <c r="D6" s="412">
        <v>2017</v>
      </c>
      <c r="E6" s="412">
        <v>2018</v>
      </c>
      <c r="F6" s="412">
        <v>2019</v>
      </c>
      <c r="G6" s="412">
        <v>2020</v>
      </c>
      <c r="H6" s="769">
        <v>2021</v>
      </c>
    </row>
    <row r="7" spans="2:21" s="35" customFormat="1" ht="15.75" customHeight="1">
      <c r="B7" s="39" t="s">
        <v>47</v>
      </c>
      <c r="C7" s="147"/>
      <c r="D7" s="147">
        <v>190868.42105263201</v>
      </c>
      <c r="E7" s="147"/>
      <c r="F7" s="475"/>
      <c r="G7" s="598"/>
      <c r="H7" s="598"/>
      <c r="I7" s="422"/>
      <c r="P7" s="422"/>
    </row>
    <row r="8" spans="2:21" s="35" customFormat="1" ht="15.75" customHeight="1">
      <c r="B8" s="39" t="s">
        <v>48</v>
      </c>
      <c r="C8" s="147"/>
      <c r="D8" s="147"/>
      <c r="E8" s="147"/>
      <c r="F8" s="147"/>
      <c r="G8" s="147"/>
      <c r="H8" s="147"/>
    </row>
    <row r="9" spans="2:21" s="132" customFormat="1" ht="15.75" customHeight="1">
      <c r="B9" s="268" t="s">
        <v>49</v>
      </c>
      <c r="C9" s="147"/>
      <c r="D9" s="147"/>
      <c r="E9" s="147">
        <v>170000</v>
      </c>
      <c r="F9" s="147">
        <v>170500</v>
      </c>
      <c r="G9" s="147">
        <v>229324.07407407404</v>
      </c>
      <c r="H9" s="147"/>
      <c r="J9" s="801"/>
      <c r="Q9" s="35"/>
      <c r="R9" s="35"/>
      <c r="S9" s="35"/>
      <c r="T9" s="35"/>
      <c r="U9" s="35"/>
    </row>
    <row r="10" spans="2:21" s="35" customFormat="1" ht="15.75" customHeight="1">
      <c r="B10" s="268" t="s">
        <v>57</v>
      </c>
      <c r="C10" s="147">
        <v>175615.38461538462</v>
      </c>
      <c r="D10" s="147">
        <v>204799.444444444</v>
      </c>
      <c r="E10" s="147">
        <v>167700</v>
      </c>
      <c r="F10" s="147">
        <v>173000</v>
      </c>
      <c r="G10" s="147">
        <v>237888.88888888888</v>
      </c>
      <c r="H10" s="147"/>
      <c r="I10" s="423"/>
      <c r="P10" s="423"/>
    </row>
    <row r="11" spans="2:21" s="35" customFormat="1" ht="15.75" customHeight="1">
      <c r="B11" s="268" t="s">
        <v>58</v>
      </c>
      <c r="C11" s="147">
        <v>183100</v>
      </c>
      <c r="D11" s="147">
        <v>203591.11111111101</v>
      </c>
      <c r="E11" s="147">
        <v>173854.83870967742</v>
      </c>
      <c r="F11" s="147">
        <v>176666.66666666669</v>
      </c>
      <c r="G11" s="147">
        <v>236881.7204301075</v>
      </c>
      <c r="H11" s="147"/>
    </row>
    <row r="12" spans="2:21" s="35" customFormat="1" ht="15.75" customHeight="1">
      <c r="B12" s="485" t="s">
        <v>50</v>
      </c>
      <c r="C12" s="147">
        <v>188500</v>
      </c>
      <c r="D12" s="147">
        <v>191201.61290322599</v>
      </c>
      <c r="E12" s="147">
        <v>171466.66666666669</v>
      </c>
      <c r="F12" s="147">
        <v>179000</v>
      </c>
      <c r="G12" s="147">
        <v>228216.66666666669</v>
      </c>
      <c r="H12" s="147"/>
      <c r="I12" s="424"/>
      <c r="J12" s="422"/>
      <c r="P12" s="424"/>
    </row>
    <row r="13" spans="2:21" s="35" customFormat="1" ht="15.75" customHeight="1">
      <c r="B13" s="39" t="s">
        <v>51</v>
      </c>
      <c r="C13" s="147">
        <v>193333.33333333331</v>
      </c>
      <c r="D13" s="147">
        <v>194322.58064516101</v>
      </c>
      <c r="E13" s="147">
        <v>175793</v>
      </c>
      <c r="F13" s="147">
        <v>173548.38709677421</v>
      </c>
      <c r="G13" s="147">
        <v>235423.07692307691</v>
      </c>
      <c r="H13" s="147"/>
    </row>
    <row r="14" spans="2:21" s="35" customFormat="1" ht="15.75" customHeight="1">
      <c r="B14" s="39" t="s">
        <v>52</v>
      </c>
      <c r="C14" s="147"/>
      <c r="D14" s="147">
        <v>190612.90322580643</v>
      </c>
      <c r="E14" s="147">
        <v>178167</v>
      </c>
      <c r="F14" s="147">
        <v>177742</v>
      </c>
      <c r="G14" s="147">
        <v>229000</v>
      </c>
      <c r="H14" s="147"/>
    </row>
    <row r="15" spans="2:21" s="35" customFormat="1" ht="15.75" customHeight="1">
      <c r="B15" s="39" t="s">
        <v>53</v>
      </c>
      <c r="C15" s="147"/>
      <c r="D15" s="147">
        <v>189000</v>
      </c>
      <c r="E15" s="147">
        <v>177000</v>
      </c>
      <c r="F15" s="147">
        <v>185400</v>
      </c>
      <c r="G15" s="147"/>
      <c r="H15" s="147"/>
    </row>
    <row r="16" spans="2:21" s="35" customFormat="1" ht="15.75" customHeight="1">
      <c r="B16" s="39" t="s">
        <v>54</v>
      </c>
      <c r="C16" s="147"/>
      <c r="D16" s="147"/>
      <c r="E16" s="147"/>
      <c r="F16" s="147"/>
      <c r="G16" s="147"/>
      <c r="H16" s="147"/>
    </row>
    <row r="17" spans="2:8" s="35" customFormat="1" ht="15.75" customHeight="1">
      <c r="B17" s="39" t="s">
        <v>55</v>
      </c>
      <c r="C17" s="147"/>
      <c r="D17" s="147"/>
      <c r="E17" s="147"/>
      <c r="F17" s="147"/>
      <c r="G17" s="147"/>
      <c r="H17" s="147"/>
    </row>
    <row r="18" spans="2:8" s="35" customFormat="1" ht="15.75" customHeight="1">
      <c r="B18" s="39" t="s">
        <v>56</v>
      </c>
      <c r="C18" s="464"/>
      <c r="D18" s="464"/>
      <c r="E18" s="147"/>
      <c r="F18" s="147"/>
      <c r="G18" s="598"/>
      <c r="H18" s="598"/>
    </row>
    <row r="19" spans="2:8" s="35" customFormat="1" ht="27" customHeight="1">
      <c r="B19" s="1179" t="s">
        <v>602</v>
      </c>
      <c r="C19" s="1179"/>
      <c r="D19" s="1179"/>
      <c r="E19" s="1179"/>
      <c r="F19" s="1179"/>
      <c r="G19" s="1179"/>
      <c r="H19" s="1179"/>
    </row>
    <row r="20" spans="2:8" s="35" customFormat="1" ht="30.75" customHeight="1">
      <c r="B20" s="1169"/>
      <c r="C20" s="1169"/>
      <c r="D20" s="1169"/>
      <c r="E20" s="1169"/>
      <c r="F20" s="1169"/>
      <c r="G20" s="1169"/>
      <c r="H20" s="1169"/>
    </row>
    <row r="21" spans="2:8" s="35" customFormat="1" ht="12.75">
      <c r="C21" s="46"/>
      <c r="D21" s="46"/>
      <c r="E21" s="46"/>
      <c r="F21" s="46"/>
      <c r="G21" s="425"/>
    </row>
    <row r="22" spans="2:8" s="35" customFormat="1" ht="23.25" customHeight="1">
      <c r="B22" s="46"/>
      <c r="C22" s="46"/>
      <c r="D22" s="46"/>
      <c r="E22" s="46"/>
      <c r="F22" s="46"/>
      <c r="G22" s="46"/>
    </row>
    <row r="23" spans="2:8" s="35" customFormat="1" ht="30.75" customHeight="1">
      <c r="B23" s="46"/>
      <c r="C23" s="46"/>
      <c r="D23" s="46"/>
      <c r="E23" s="46"/>
      <c r="F23" s="46"/>
      <c r="G23" s="46"/>
    </row>
    <row r="24" spans="2:8" s="35" customFormat="1" ht="44.25" customHeight="1">
      <c r="B24" s="46"/>
      <c r="C24" s="46"/>
      <c r="D24" s="46"/>
      <c r="E24" s="46"/>
      <c r="F24" s="46"/>
      <c r="G24" s="46"/>
    </row>
    <row r="25" spans="2:8" s="35" customFormat="1" ht="30" customHeight="1">
      <c r="B25" s="46"/>
      <c r="C25" s="46"/>
      <c r="D25" s="46"/>
      <c r="E25" s="46"/>
      <c r="F25" s="46"/>
      <c r="G25" s="46"/>
    </row>
    <row r="26" spans="2:8" s="35" customFormat="1" ht="21.75" customHeight="1">
      <c r="B26" s="46"/>
      <c r="C26" s="46"/>
      <c r="D26" s="46"/>
      <c r="E26" s="46"/>
      <c r="F26" s="46"/>
      <c r="G26" s="46"/>
    </row>
    <row r="27" spans="2:8" s="35" customFormat="1" ht="17.25" customHeight="1">
      <c r="B27" s="46"/>
      <c r="C27" s="46"/>
      <c r="D27" s="46"/>
      <c r="E27" s="46"/>
      <c r="F27" s="46"/>
      <c r="G27" s="46"/>
    </row>
    <row r="28" spans="2:8" s="35" customFormat="1" ht="44.25" customHeight="1">
      <c r="B28" s="46"/>
      <c r="C28" s="46"/>
      <c r="D28" s="46"/>
      <c r="E28" s="46"/>
      <c r="F28" s="46"/>
      <c r="G28" s="46"/>
    </row>
    <row r="29" spans="2:8" s="35" customFormat="1" ht="21" customHeight="1">
      <c r="B29" s="46"/>
      <c r="C29" s="46"/>
      <c r="D29" s="46"/>
      <c r="E29" s="46"/>
      <c r="F29" s="46"/>
      <c r="G29" s="46"/>
    </row>
    <row r="30" spans="2:8" s="35" customFormat="1" ht="12.75">
      <c r="B30" s="46"/>
      <c r="C30" s="46"/>
      <c r="D30" s="46"/>
      <c r="E30" s="46"/>
      <c r="F30" s="46"/>
      <c r="G30" s="46"/>
    </row>
    <row r="31" spans="2:8" s="35" customFormat="1" ht="12.75">
      <c r="B31" s="16"/>
      <c r="C31" s="46"/>
      <c r="D31" s="46"/>
      <c r="E31" s="46"/>
      <c r="F31" s="46"/>
      <c r="G31" s="46"/>
    </row>
    <row r="32" spans="2:8" ht="14.1" customHeight="1">
      <c r="B32" s="426"/>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1:W40"/>
  <sheetViews>
    <sheetView zoomScaleNormal="100" workbookViewId="0">
      <selection activeCell="A23" sqref="A23:XFD23"/>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45" customWidth="1"/>
    <col min="13" max="13" width="6.6328125" customWidth="1"/>
    <col min="14" max="14" width="8.81640625" bestFit="1" customWidth="1"/>
    <col min="15" max="15" width="6.36328125" bestFit="1" customWidth="1"/>
  </cols>
  <sheetData>
    <row r="1" spans="2:22">
      <c r="B1" s="1107" t="s">
        <v>2</v>
      </c>
      <c r="C1" s="1107"/>
      <c r="D1" s="1107"/>
      <c r="E1" s="1107"/>
      <c r="F1" s="1107"/>
      <c r="G1" s="1107"/>
      <c r="H1" s="1107"/>
      <c r="I1" s="1107"/>
      <c r="J1" s="1107"/>
      <c r="K1" s="1107"/>
      <c r="L1" s="1107"/>
      <c r="M1" s="1107"/>
    </row>
    <row r="2" spans="2:22">
      <c r="B2" s="947"/>
      <c r="C2" s="947"/>
      <c r="D2" s="947"/>
      <c r="E2" s="947"/>
      <c r="F2" s="947"/>
      <c r="G2" s="947"/>
      <c r="H2" s="947"/>
      <c r="I2" s="947"/>
      <c r="J2" s="947"/>
      <c r="K2" s="947"/>
      <c r="L2" s="947"/>
      <c r="M2" s="947"/>
    </row>
    <row r="3" spans="2:22" ht="20.25" customHeight="1">
      <c r="B3" s="1108" t="s">
        <v>124</v>
      </c>
      <c r="C3" s="1108"/>
      <c r="D3" s="1108"/>
      <c r="E3" s="1108"/>
      <c r="F3" s="1108"/>
      <c r="G3" s="1108"/>
      <c r="H3" s="1108"/>
      <c r="I3" s="1108"/>
      <c r="J3" s="1108"/>
      <c r="K3" s="1108"/>
      <c r="L3" s="1108"/>
      <c r="M3" s="1108"/>
    </row>
    <row r="4" spans="2:22" ht="17.45" customHeight="1">
      <c r="B4" s="1109" t="s">
        <v>733</v>
      </c>
      <c r="C4" s="1109"/>
      <c r="D4" s="1109"/>
      <c r="E4" s="1109"/>
      <c r="F4" s="1109"/>
      <c r="G4" s="1109"/>
      <c r="H4" s="1109"/>
      <c r="I4" s="1109"/>
      <c r="J4" s="1109"/>
      <c r="K4" s="1109"/>
      <c r="L4" s="1109"/>
      <c r="M4" s="1109"/>
    </row>
    <row r="5" spans="2:22" ht="30" customHeight="1">
      <c r="B5" s="709" t="s">
        <v>5</v>
      </c>
      <c r="C5" s="706" t="s">
        <v>9</v>
      </c>
      <c r="D5" s="706" t="s">
        <v>86</v>
      </c>
      <c r="E5" s="706" t="s">
        <v>91</v>
      </c>
      <c r="F5" s="706" t="s">
        <v>87</v>
      </c>
      <c r="G5" s="706" t="s">
        <v>125</v>
      </c>
      <c r="H5" s="706" t="s">
        <v>88</v>
      </c>
      <c r="I5" s="706" t="s">
        <v>70</v>
      </c>
      <c r="J5" s="706" t="s">
        <v>89</v>
      </c>
      <c r="K5" s="706" t="s">
        <v>126</v>
      </c>
      <c r="L5" s="705" t="s">
        <v>71</v>
      </c>
      <c r="M5" s="705" t="s">
        <v>482</v>
      </c>
    </row>
    <row r="6" spans="2:22" ht="18" customHeight="1">
      <c r="B6" s="1106" t="s">
        <v>583</v>
      </c>
      <c r="C6" s="1106"/>
      <c r="D6" s="1106"/>
      <c r="E6" s="1106"/>
      <c r="F6" s="1106"/>
      <c r="G6" s="1106"/>
      <c r="H6" s="1106"/>
      <c r="I6" s="1106"/>
      <c r="J6" s="1106"/>
      <c r="K6" s="1106"/>
      <c r="L6" s="1106"/>
      <c r="M6" s="1106"/>
    </row>
    <row r="7" spans="2:22">
      <c r="B7" s="710" t="s">
        <v>127</v>
      </c>
      <c r="C7" s="859">
        <v>1.74</v>
      </c>
      <c r="D7" s="859">
        <v>4.4400000000000004</v>
      </c>
      <c r="E7" s="859">
        <v>6.04</v>
      </c>
      <c r="F7" s="859">
        <v>15.92</v>
      </c>
      <c r="G7" s="859">
        <v>1.68</v>
      </c>
      <c r="H7" s="859">
        <v>7.78</v>
      </c>
      <c r="I7" s="859">
        <v>1.59</v>
      </c>
      <c r="J7" s="859">
        <v>29.39</v>
      </c>
      <c r="K7" s="859">
        <v>139.77000000000001</v>
      </c>
      <c r="L7" s="859">
        <v>283.27999999999997</v>
      </c>
      <c r="M7" s="859">
        <v>143.51</v>
      </c>
      <c r="N7" s="482"/>
    </row>
    <row r="8" spans="2:22">
      <c r="B8" s="64" t="s">
        <v>6</v>
      </c>
      <c r="C8" s="859">
        <v>19.78</v>
      </c>
      <c r="D8" s="859">
        <v>15.2</v>
      </c>
      <c r="E8" s="859">
        <v>32.67</v>
      </c>
      <c r="F8" s="859">
        <v>154.51</v>
      </c>
      <c r="G8" s="859">
        <v>11.45</v>
      </c>
      <c r="H8" s="859">
        <v>73.61</v>
      </c>
      <c r="I8" s="859">
        <v>29.17</v>
      </c>
      <c r="J8" s="859">
        <v>52.58</v>
      </c>
      <c r="K8" s="859">
        <v>133.59</v>
      </c>
      <c r="L8" s="859">
        <v>763.92</v>
      </c>
      <c r="M8" s="859">
        <v>630.33000000000004</v>
      </c>
      <c r="N8" s="482"/>
    </row>
    <row r="9" spans="2:22">
      <c r="B9" s="64" t="s">
        <v>123</v>
      </c>
      <c r="C9" s="859">
        <v>0.01</v>
      </c>
      <c r="D9" s="859">
        <v>0.89</v>
      </c>
      <c r="E9" s="859">
        <v>0.68</v>
      </c>
      <c r="F9" s="859">
        <v>4.8</v>
      </c>
      <c r="G9" s="859">
        <v>0.57999999999999996</v>
      </c>
      <c r="H9" s="859">
        <v>0.33</v>
      </c>
      <c r="I9" s="859">
        <v>0.1</v>
      </c>
      <c r="J9" s="859">
        <v>2.86</v>
      </c>
      <c r="K9" s="859">
        <v>5.38</v>
      </c>
      <c r="L9" s="859">
        <v>185.26</v>
      </c>
      <c r="M9" s="859">
        <v>179.88</v>
      </c>
      <c r="N9" s="482"/>
    </row>
    <row r="10" spans="2:22">
      <c r="B10" s="64" t="s">
        <v>13</v>
      </c>
      <c r="C10" s="859">
        <v>6.3</v>
      </c>
      <c r="D10" s="859">
        <v>8.5</v>
      </c>
      <c r="E10" s="859">
        <v>9.26</v>
      </c>
      <c r="F10" s="859">
        <v>122.5</v>
      </c>
      <c r="G10" s="859">
        <v>6.1</v>
      </c>
      <c r="H10" s="859">
        <v>40</v>
      </c>
      <c r="I10" s="859">
        <v>8.6999999999999993</v>
      </c>
      <c r="J10" s="859">
        <v>30.56</v>
      </c>
      <c r="K10" s="859">
        <v>126</v>
      </c>
      <c r="L10" s="859">
        <v>746.9</v>
      </c>
      <c r="M10" s="859">
        <v>620.9</v>
      </c>
      <c r="N10" s="482"/>
    </row>
    <row r="11" spans="2:22">
      <c r="B11" s="64" t="s">
        <v>110</v>
      </c>
      <c r="C11" s="859">
        <v>13.5</v>
      </c>
      <c r="D11" s="859">
        <v>9.14</v>
      </c>
      <c r="E11" s="859">
        <v>24.63</v>
      </c>
      <c r="F11" s="859">
        <v>38.43</v>
      </c>
      <c r="G11" s="859">
        <v>6.99</v>
      </c>
      <c r="H11" s="859">
        <v>34.49</v>
      </c>
      <c r="I11" s="859">
        <v>21.01</v>
      </c>
      <c r="J11" s="859">
        <v>26.28</v>
      </c>
      <c r="K11" s="859">
        <v>1.05</v>
      </c>
      <c r="L11" s="859">
        <v>191.52</v>
      </c>
      <c r="M11" s="859">
        <v>190.47</v>
      </c>
      <c r="N11" s="482"/>
    </row>
    <row r="12" spans="2:22">
      <c r="B12" s="711" t="s">
        <v>129</v>
      </c>
      <c r="C12" s="859">
        <v>1.72</v>
      </c>
      <c r="D12" s="859">
        <v>2.9</v>
      </c>
      <c r="E12" s="859">
        <v>5.5</v>
      </c>
      <c r="F12" s="859">
        <v>14.3</v>
      </c>
      <c r="G12" s="859">
        <v>0.63</v>
      </c>
      <c r="H12" s="859">
        <v>7.23</v>
      </c>
      <c r="I12" s="859">
        <v>1.1499999999999999</v>
      </c>
      <c r="J12" s="859">
        <v>27.99</v>
      </c>
      <c r="K12" s="859">
        <v>151.68</v>
      </c>
      <c r="L12" s="859">
        <v>300.29000000000002</v>
      </c>
      <c r="M12" s="859">
        <v>148.61000000000001</v>
      </c>
      <c r="N12" s="482"/>
      <c r="O12" s="182"/>
      <c r="P12" s="182"/>
      <c r="Q12" s="182"/>
      <c r="R12" s="182"/>
      <c r="S12" s="182"/>
      <c r="T12" s="182"/>
      <c r="U12" s="182"/>
      <c r="V12" s="182"/>
    </row>
    <row r="13" spans="2:22" ht="18" customHeight="1">
      <c r="B13" s="1106" t="s">
        <v>584</v>
      </c>
      <c r="C13" s="1106"/>
      <c r="D13" s="1106"/>
      <c r="E13" s="1106"/>
      <c r="F13" s="1106"/>
      <c r="G13" s="1106"/>
      <c r="H13" s="1106"/>
      <c r="I13" s="1106"/>
      <c r="J13" s="1106"/>
      <c r="K13" s="1106"/>
      <c r="L13" s="1106"/>
      <c r="M13" s="1106"/>
      <c r="N13" s="482"/>
    </row>
    <row r="14" spans="2:22">
      <c r="B14" s="710" t="s">
        <v>127</v>
      </c>
      <c r="C14" s="736">
        <v>1.72</v>
      </c>
      <c r="D14" s="736">
        <v>2.9</v>
      </c>
      <c r="E14" s="736">
        <v>5.5</v>
      </c>
      <c r="F14" s="736">
        <v>14.3</v>
      </c>
      <c r="G14" s="736">
        <v>0.63</v>
      </c>
      <c r="H14" s="736">
        <v>7.23</v>
      </c>
      <c r="I14" s="736">
        <v>1.1499999999999999</v>
      </c>
      <c r="J14" s="736">
        <v>27.99</v>
      </c>
      <c r="K14" s="736">
        <v>151.68</v>
      </c>
      <c r="L14" s="736">
        <v>300.29000000000002</v>
      </c>
      <c r="M14" s="736">
        <v>148.61000000000001</v>
      </c>
      <c r="N14" s="182"/>
      <c r="O14" s="182"/>
      <c r="P14" s="182"/>
      <c r="Q14" s="182"/>
      <c r="R14" s="182"/>
      <c r="S14" s="182"/>
      <c r="T14" s="182"/>
      <c r="U14" s="182"/>
      <c r="V14" s="182"/>
    </row>
    <row r="15" spans="2:22" ht="15.75" customHeight="1">
      <c r="B15" s="712" t="s">
        <v>6</v>
      </c>
      <c r="C15" s="736">
        <v>17.2</v>
      </c>
      <c r="D15" s="736">
        <v>33</v>
      </c>
      <c r="E15" s="736">
        <v>35.18</v>
      </c>
      <c r="F15" s="736">
        <v>135.80000000000001</v>
      </c>
      <c r="G15" s="736">
        <v>14.26</v>
      </c>
      <c r="H15" s="736">
        <v>85.35</v>
      </c>
      <c r="I15" s="736">
        <v>25.5</v>
      </c>
      <c r="J15" s="736">
        <v>49.69</v>
      </c>
      <c r="K15" s="736">
        <v>134.25</v>
      </c>
      <c r="L15" s="736">
        <v>776.78</v>
      </c>
      <c r="M15" s="736">
        <v>642.53</v>
      </c>
      <c r="N15" s="182"/>
      <c r="O15" s="182"/>
      <c r="P15" s="182"/>
      <c r="Q15" s="182"/>
      <c r="R15" s="182"/>
      <c r="S15" s="182"/>
      <c r="T15" s="182"/>
      <c r="U15" s="182"/>
      <c r="V15" s="182"/>
    </row>
    <row r="16" spans="2:22" ht="15.75" customHeight="1">
      <c r="B16" s="712" t="s">
        <v>123</v>
      </c>
      <c r="C16" s="736">
        <v>0.01</v>
      </c>
      <c r="D16" s="736">
        <v>0.2</v>
      </c>
      <c r="E16" s="736">
        <v>0.55000000000000004</v>
      </c>
      <c r="F16" s="736">
        <v>6</v>
      </c>
      <c r="G16" s="736">
        <v>0.5</v>
      </c>
      <c r="H16" s="736">
        <v>0.5</v>
      </c>
      <c r="I16" s="736">
        <v>0.08</v>
      </c>
      <c r="J16" s="736">
        <v>3.27</v>
      </c>
      <c r="K16" s="736">
        <v>10.5</v>
      </c>
      <c r="L16" s="736">
        <v>191.59</v>
      </c>
      <c r="M16" s="736">
        <v>181.09</v>
      </c>
      <c r="N16" s="182"/>
      <c r="O16" s="182"/>
      <c r="P16" s="182"/>
      <c r="Q16" s="182"/>
      <c r="R16" s="182"/>
      <c r="S16" s="182"/>
      <c r="T16" s="182"/>
      <c r="U16" s="182"/>
      <c r="V16" s="182"/>
    </row>
    <row r="17" spans="2:23" ht="15.75" customHeight="1">
      <c r="B17" s="712" t="s">
        <v>13</v>
      </c>
      <c r="C17" s="736">
        <v>6.05</v>
      </c>
      <c r="D17" s="736">
        <v>8.5</v>
      </c>
      <c r="E17" s="736">
        <v>9.9</v>
      </c>
      <c r="F17" s="736">
        <v>118.5</v>
      </c>
      <c r="G17" s="736">
        <v>6.2</v>
      </c>
      <c r="H17" s="736">
        <v>41.5</v>
      </c>
      <c r="I17" s="736">
        <v>8.1</v>
      </c>
      <c r="J17" s="736">
        <v>31.38</v>
      </c>
      <c r="K17" s="736">
        <v>145</v>
      </c>
      <c r="L17" s="736">
        <v>775.89</v>
      </c>
      <c r="M17" s="736">
        <v>630.89</v>
      </c>
      <c r="N17" s="182"/>
      <c r="O17" s="182"/>
      <c r="P17" s="182"/>
      <c r="Q17" s="182"/>
      <c r="R17" s="182"/>
      <c r="S17" s="182"/>
      <c r="T17" s="182"/>
      <c r="U17" s="182"/>
      <c r="V17" s="182"/>
      <c r="W17" s="182"/>
    </row>
    <row r="18" spans="2:23" ht="15.75" customHeight="1">
      <c r="B18" s="712" t="s">
        <v>110</v>
      </c>
      <c r="C18" s="736">
        <v>11.5</v>
      </c>
      <c r="D18" s="736">
        <v>22</v>
      </c>
      <c r="E18" s="736">
        <v>27</v>
      </c>
      <c r="F18" s="736">
        <v>27</v>
      </c>
      <c r="G18" s="736">
        <v>7.5</v>
      </c>
      <c r="H18" s="736">
        <v>39</v>
      </c>
      <c r="I18" s="736">
        <v>17.5</v>
      </c>
      <c r="J18" s="736">
        <v>26.81</v>
      </c>
      <c r="K18" s="736">
        <v>1</v>
      </c>
      <c r="L18" s="736">
        <v>197.69</v>
      </c>
      <c r="M18" s="736">
        <v>196.69</v>
      </c>
      <c r="N18" s="182"/>
      <c r="O18" s="911"/>
      <c r="P18" s="182"/>
      <c r="Q18" s="182"/>
      <c r="R18" s="182"/>
      <c r="S18" s="182"/>
      <c r="T18" s="182"/>
      <c r="U18" s="182"/>
      <c r="V18" s="182"/>
      <c r="W18" s="182"/>
    </row>
    <row r="19" spans="2:23" ht="15.75" customHeight="1">
      <c r="B19" s="743" t="s">
        <v>129</v>
      </c>
      <c r="C19" s="748">
        <v>1.38</v>
      </c>
      <c r="D19" s="748">
        <v>5.6</v>
      </c>
      <c r="E19" s="748">
        <v>4.33</v>
      </c>
      <c r="F19" s="748">
        <v>10.6</v>
      </c>
      <c r="G19" s="748">
        <v>1.69</v>
      </c>
      <c r="H19" s="748">
        <v>12.58</v>
      </c>
      <c r="I19" s="748">
        <v>1.1200000000000001</v>
      </c>
      <c r="J19" s="748">
        <v>22.76</v>
      </c>
      <c r="K19" s="884">
        <v>150.43</v>
      </c>
      <c r="L19" s="748">
        <v>301.19</v>
      </c>
      <c r="M19" s="748">
        <v>150.76</v>
      </c>
      <c r="N19" s="182"/>
      <c r="O19" s="18"/>
      <c r="P19" s="182"/>
      <c r="Q19" s="182"/>
      <c r="R19" s="182"/>
      <c r="S19" s="182"/>
      <c r="T19" s="182"/>
      <c r="U19" s="182"/>
      <c r="V19" s="182"/>
      <c r="W19" s="182"/>
    </row>
    <row r="20" spans="2:23">
      <c r="B20" s="744" t="s">
        <v>167</v>
      </c>
      <c r="C20" s="745"/>
      <c r="D20" s="745"/>
      <c r="E20" s="745"/>
      <c r="F20" s="745"/>
      <c r="G20" s="745"/>
      <c r="H20" s="745"/>
      <c r="I20" s="745"/>
      <c r="J20" s="745"/>
      <c r="K20" s="745"/>
      <c r="L20" s="746"/>
      <c r="M20" s="747"/>
      <c r="N20" s="182"/>
      <c r="O20" s="182"/>
      <c r="P20" s="182"/>
      <c r="Q20" s="182"/>
      <c r="R20" s="182"/>
      <c r="S20" s="182"/>
      <c r="T20" s="182"/>
      <c r="U20" s="182"/>
      <c r="V20" s="182"/>
      <c r="W20" s="182"/>
    </row>
    <row r="21" spans="2:23">
      <c r="B21" s="73"/>
      <c r="C21" s="69"/>
      <c r="D21" s="69"/>
      <c r="E21" s="69"/>
      <c r="F21" s="69"/>
      <c r="G21" s="69"/>
      <c r="H21" s="69"/>
      <c r="I21" s="69"/>
      <c r="J21" s="69"/>
      <c r="K21" s="69"/>
      <c r="L21" s="69"/>
      <c r="N21" s="182"/>
      <c r="O21" s="182"/>
      <c r="P21" s="182"/>
      <c r="Q21" s="182"/>
      <c r="R21" s="182"/>
      <c r="S21" s="182"/>
      <c r="T21" s="182"/>
      <c r="U21" s="182"/>
      <c r="V21" s="182"/>
      <c r="W21" s="182"/>
    </row>
    <row r="22" spans="2:23">
      <c r="B22" s="633"/>
      <c r="C22" s="182"/>
      <c r="D22" s="182"/>
      <c r="E22" s="182"/>
      <c r="F22" s="182"/>
      <c r="G22" s="182"/>
      <c r="H22" s="182"/>
      <c r="I22" s="182"/>
      <c r="J22" s="182"/>
      <c r="K22" s="182"/>
      <c r="L22" s="182"/>
      <c r="M22" s="784"/>
      <c r="N22" s="182"/>
      <c r="O22" s="182"/>
      <c r="P22" s="182"/>
      <c r="Q22" s="182"/>
      <c r="R22" s="182"/>
      <c r="S22" s="182"/>
      <c r="T22" s="182"/>
      <c r="U22" s="182"/>
      <c r="V22" s="182"/>
      <c r="W22" s="182"/>
    </row>
    <row r="23" spans="2:23">
      <c r="B23" s="68"/>
      <c r="C23" s="182"/>
      <c r="D23" s="182"/>
      <c r="E23" s="182"/>
      <c r="F23" s="182"/>
      <c r="G23" s="182"/>
      <c r="H23" s="182"/>
      <c r="I23" s="182"/>
      <c r="J23" s="182"/>
      <c r="K23" s="182"/>
      <c r="L23" s="182"/>
      <c r="N23" s="182"/>
      <c r="O23" s="182"/>
      <c r="P23" s="182"/>
      <c r="Q23" s="182"/>
      <c r="R23" s="182"/>
      <c r="S23" s="182"/>
      <c r="T23" s="182"/>
      <c r="U23" s="182"/>
      <c r="V23" s="182"/>
      <c r="W23" s="182"/>
    </row>
    <row r="24" spans="2:23">
      <c r="C24" s="182"/>
      <c r="D24" s="182"/>
      <c r="E24" s="182"/>
      <c r="F24" s="182"/>
      <c r="G24" s="182"/>
      <c r="H24" s="182"/>
      <c r="I24" s="182"/>
      <c r="J24" s="182"/>
      <c r="K24" s="182"/>
      <c r="L24" s="182"/>
      <c r="N24" s="182"/>
      <c r="O24" s="182"/>
      <c r="P24" s="182"/>
      <c r="Q24" s="182"/>
      <c r="R24" s="182"/>
      <c r="S24" s="182"/>
      <c r="T24" s="182"/>
      <c r="U24" s="182"/>
      <c r="V24" s="182"/>
      <c r="W24" s="182"/>
    </row>
    <row r="25" spans="2:23">
      <c r="B25" s="209"/>
      <c r="C25" s="182"/>
      <c r="D25" s="182"/>
      <c r="E25" s="182"/>
      <c r="F25" s="182"/>
      <c r="G25" s="182"/>
      <c r="H25" s="182"/>
      <c r="I25" s="182"/>
      <c r="J25" s="182"/>
      <c r="K25" s="182"/>
      <c r="L25" s="182"/>
    </row>
    <row r="26" spans="2:23">
      <c r="C26" s="182"/>
      <c r="D26" s="182"/>
      <c r="E26" s="182"/>
      <c r="F26" s="182"/>
      <c r="G26" s="182"/>
      <c r="H26" s="182"/>
      <c r="I26" s="182"/>
      <c r="J26" s="182"/>
      <c r="K26" s="182"/>
      <c r="L26" s="182"/>
    </row>
    <row r="27" spans="2:23">
      <c r="C27" s="182"/>
      <c r="D27" s="182"/>
      <c r="E27" s="182"/>
      <c r="F27" s="182"/>
      <c r="G27" s="182"/>
      <c r="H27" s="182"/>
      <c r="I27" s="182"/>
      <c r="J27" s="182"/>
      <c r="K27" s="182"/>
      <c r="L27" s="182"/>
    </row>
    <row r="28" spans="2:23">
      <c r="C28" s="182"/>
      <c r="D28" s="182"/>
      <c r="E28" s="182"/>
      <c r="F28" s="182"/>
      <c r="G28" s="182"/>
      <c r="H28" s="182"/>
      <c r="I28" s="182"/>
      <c r="J28" s="182"/>
      <c r="K28" s="182"/>
      <c r="L28" s="182"/>
    </row>
    <row r="29" spans="2:23">
      <c r="C29" s="182"/>
      <c r="D29" s="182"/>
      <c r="E29" s="182"/>
      <c r="F29" s="182"/>
      <c r="G29" s="182"/>
      <c r="H29" s="182"/>
      <c r="I29" s="182"/>
      <c r="J29" s="182"/>
      <c r="K29" s="182"/>
      <c r="L29" s="182"/>
    </row>
    <row r="30" spans="2:23">
      <c r="C30" s="182"/>
      <c r="D30" s="182"/>
      <c r="E30" s="182"/>
      <c r="F30" s="182"/>
      <c r="G30" s="182"/>
      <c r="H30" s="182"/>
      <c r="I30" s="182"/>
      <c r="J30" s="182"/>
      <c r="K30" s="182"/>
      <c r="L30" s="182"/>
    </row>
    <row r="31" spans="2:23">
      <c r="C31" s="182"/>
      <c r="D31" s="182"/>
      <c r="E31" s="182"/>
      <c r="F31" s="182"/>
      <c r="G31" s="182"/>
      <c r="H31" s="182"/>
      <c r="I31" s="182"/>
      <c r="J31" s="182"/>
      <c r="K31" s="182"/>
      <c r="L31" s="182"/>
    </row>
    <row r="32" spans="2:23">
      <c r="C32" s="182"/>
      <c r="D32" s="182"/>
      <c r="E32" s="182"/>
      <c r="F32" s="182"/>
      <c r="G32" s="182"/>
      <c r="H32" s="182"/>
      <c r="I32" s="182"/>
      <c r="J32" s="182"/>
      <c r="K32" s="182"/>
      <c r="L32" s="182"/>
    </row>
    <row r="33" spans="3:12">
      <c r="C33" s="182"/>
      <c r="D33" s="182"/>
      <c r="E33" s="182"/>
      <c r="F33" s="182"/>
      <c r="G33" s="182"/>
      <c r="H33" s="182"/>
      <c r="I33" s="182"/>
      <c r="J33" s="182"/>
      <c r="K33" s="182"/>
      <c r="L33" s="182"/>
    </row>
    <row r="34" spans="3:12">
      <c r="C34" s="182"/>
      <c r="D34" s="182"/>
      <c r="E34" s="182"/>
      <c r="F34" s="182"/>
      <c r="G34" s="182"/>
      <c r="H34" s="182"/>
      <c r="I34" s="182"/>
      <c r="J34" s="182"/>
      <c r="K34" s="182"/>
      <c r="L34" s="182"/>
    </row>
    <row r="35" spans="3:12">
      <c r="C35" s="182"/>
      <c r="D35" s="182"/>
      <c r="E35" s="182"/>
      <c r="F35" s="182"/>
      <c r="G35" s="182"/>
      <c r="H35" s="182"/>
      <c r="I35" s="182"/>
      <c r="J35" s="182"/>
      <c r="K35" s="182"/>
      <c r="L35" s="182"/>
    </row>
    <row r="36" spans="3:12">
      <c r="C36" s="182"/>
      <c r="D36" s="182"/>
      <c r="E36" s="182"/>
      <c r="F36" s="182"/>
      <c r="G36" s="182"/>
      <c r="H36" s="182"/>
      <c r="I36" s="182"/>
      <c r="J36" s="182"/>
      <c r="K36" s="182"/>
      <c r="L36" s="182"/>
    </row>
    <row r="37" spans="3:12">
      <c r="C37" s="182"/>
      <c r="D37" s="182"/>
      <c r="E37" s="182"/>
      <c r="F37" s="182"/>
      <c r="G37" s="182"/>
      <c r="H37" s="182"/>
      <c r="I37" s="182"/>
      <c r="J37" s="182"/>
      <c r="K37" s="182"/>
      <c r="L37" s="182"/>
    </row>
    <row r="38" spans="3:12">
      <c r="C38" s="182"/>
      <c r="D38" s="182"/>
      <c r="E38" s="182"/>
      <c r="F38" s="182"/>
      <c r="G38" s="182"/>
      <c r="H38" s="182"/>
      <c r="I38" s="182"/>
      <c r="J38" s="182"/>
      <c r="K38" s="182"/>
      <c r="L38" s="182"/>
    </row>
    <row r="39" spans="3:12">
      <c r="C39" s="182"/>
      <c r="D39" s="182"/>
      <c r="E39" s="182"/>
      <c r="F39" s="182"/>
      <c r="G39" s="182"/>
      <c r="H39" s="182"/>
      <c r="I39" s="182"/>
      <c r="J39" s="182"/>
      <c r="K39" s="182"/>
      <c r="L39" s="182"/>
    </row>
    <row r="40" spans="3:12">
      <c r="C40" s="182"/>
      <c r="D40" s="182"/>
      <c r="E40" s="182"/>
      <c r="F40" s="182"/>
      <c r="G40" s="182"/>
      <c r="H40" s="182"/>
      <c r="I40" s="182"/>
      <c r="J40" s="182"/>
      <c r="K40" s="182"/>
      <c r="L40" s="182"/>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8"/>
  <sheetViews>
    <sheetView zoomScaleNormal="100" zoomScaleSheetLayoutView="75" workbookViewId="0">
      <selection activeCell="I18" sqref="I18"/>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3" customFormat="1" ht="12.75">
      <c r="B1" s="1104" t="s">
        <v>78</v>
      </c>
      <c r="C1" s="1104"/>
      <c r="D1" s="1104"/>
    </row>
    <row r="2" spans="2:15" s="23" customFormat="1" ht="12.75">
      <c r="B2" s="25"/>
      <c r="C2" s="25"/>
      <c r="D2" s="25"/>
    </row>
    <row r="3" spans="2:15" s="23" customFormat="1" ht="31.5" customHeight="1">
      <c r="B3" s="1184" t="s">
        <v>333</v>
      </c>
      <c r="C3" s="1184"/>
      <c r="D3" s="1184"/>
    </row>
    <row r="4" spans="2:15" s="23" customFormat="1" ht="12.75">
      <c r="B4" s="1104" t="s">
        <v>334</v>
      </c>
      <c r="C4" s="1104"/>
      <c r="D4" s="1104"/>
    </row>
    <row r="5" spans="2:15" s="35" customFormat="1" ht="31.5" customHeight="1">
      <c r="B5" s="1301" t="s">
        <v>225</v>
      </c>
      <c r="C5" s="1194" t="s">
        <v>241</v>
      </c>
      <c r="D5" s="1194"/>
      <c r="F5" s="33"/>
    </row>
    <row r="6" spans="2:15" s="35" customFormat="1" ht="17.25" customHeight="1">
      <c r="B6" s="1301"/>
      <c r="C6" s="412">
        <v>2020</v>
      </c>
      <c r="D6" s="412">
        <v>2021</v>
      </c>
      <c r="F6" s="115"/>
      <c r="G6" s="115"/>
    </row>
    <row r="7" spans="2:15" s="35" customFormat="1" ht="15.75" customHeight="1">
      <c r="B7" s="96" t="s">
        <v>47</v>
      </c>
      <c r="C7" s="791"/>
      <c r="D7" s="791"/>
      <c r="F7" s="115"/>
      <c r="G7" s="115"/>
    </row>
    <row r="8" spans="2:15" s="35" customFormat="1" ht="15.75" customHeight="1">
      <c r="B8" s="96" t="s">
        <v>48</v>
      </c>
      <c r="C8" s="792"/>
      <c r="D8" s="791"/>
      <c r="F8" s="115"/>
      <c r="G8" s="115"/>
    </row>
    <row r="9" spans="2:15" s="132" customFormat="1" ht="15.75" customHeight="1">
      <c r="B9" s="150" t="s">
        <v>49</v>
      </c>
      <c r="C9" s="791">
        <v>229.32407407407405</v>
      </c>
      <c r="D9" s="791"/>
      <c r="F9" s="133"/>
      <c r="G9" s="133"/>
    </row>
    <row r="10" spans="2:15" s="35" customFormat="1" ht="15.75" customHeight="1">
      <c r="B10" s="150" t="s">
        <v>57</v>
      </c>
      <c r="C10" s="791">
        <v>237.88888888888886</v>
      </c>
      <c r="D10" s="791"/>
      <c r="F10" s="45"/>
      <c r="G10" s="482"/>
      <c r="H10" s="45"/>
      <c r="I10" s="45"/>
      <c r="J10" s="45"/>
      <c r="K10" s="45"/>
      <c r="L10" s="45"/>
      <c r="M10" s="45"/>
      <c r="N10" s="45"/>
      <c r="O10" s="45"/>
    </row>
    <row r="11" spans="2:15" s="35" customFormat="1" ht="15.75" customHeight="1">
      <c r="B11" s="150" t="s">
        <v>58</v>
      </c>
      <c r="C11" s="791">
        <v>236.88172043010749</v>
      </c>
      <c r="D11" s="791"/>
      <c r="F11" s="429"/>
      <c r="G11" s="214"/>
      <c r="H11" s="45"/>
      <c r="I11" s="45"/>
      <c r="J11" s="45"/>
      <c r="K11" s="45"/>
      <c r="L11" s="45"/>
      <c r="M11" s="45"/>
      <c r="N11" s="45"/>
      <c r="O11" s="45"/>
    </row>
    <row r="12" spans="2:15" s="35" customFormat="1" ht="15.75" customHeight="1">
      <c r="B12" s="150" t="s">
        <v>50</v>
      </c>
      <c r="C12" s="791">
        <v>228.21666666666667</v>
      </c>
      <c r="D12" s="791"/>
      <c r="F12" s="429"/>
      <c r="G12" s="214"/>
    </row>
    <row r="13" spans="2:15" s="35" customFormat="1" ht="15.75" customHeight="1">
      <c r="B13" s="150" t="s">
        <v>51</v>
      </c>
      <c r="C13" s="791">
        <v>235.42307692307691</v>
      </c>
      <c r="D13" s="791"/>
      <c r="E13" s="191"/>
      <c r="F13" s="429"/>
      <c r="G13" s="480"/>
    </row>
    <row r="14" spans="2:15" s="35" customFormat="1" ht="15.75" customHeight="1">
      <c r="B14" s="150" t="s">
        <v>52</v>
      </c>
      <c r="C14" s="791">
        <v>229</v>
      </c>
      <c r="D14" s="791"/>
      <c r="F14" s="45"/>
      <c r="G14" s="146"/>
    </row>
    <row r="15" spans="2:15" s="35" customFormat="1" ht="15.75" customHeight="1">
      <c r="B15" s="150" t="s">
        <v>53</v>
      </c>
      <c r="C15" s="791"/>
      <c r="D15" s="791"/>
      <c r="F15" s="115"/>
      <c r="G15" s="115"/>
    </row>
    <row r="16" spans="2:15" s="35" customFormat="1" ht="15.75" customHeight="1">
      <c r="B16" s="150" t="s">
        <v>54</v>
      </c>
      <c r="C16" s="792"/>
      <c r="D16" s="791"/>
    </row>
    <row r="17" spans="2:13" s="35" customFormat="1" ht="15.75" customHeight="1">
      <c r="B17" s="150" t="s">
        <v>55</v>
      </c>
      <c r="C17" s="791"/>
      <c r="D17" s="791"/>
    </row>
    <row r="18" spans="2:13" s="35" customFormat="1" ht="15.75" customHeight="1">
      <c r="B18" s="150" t="s">
        <v>56</v>
      </c>
      <c r="C18" s="791"/>
      <c r="D18" s="791"/>
    </row>
    <row r="19" spans="2:13" ht="68.25" customHeight="1">
      <c r="B19" s="1369" t="s">
        <v>603</v>
      </c>
      <c r="C19" s="1369"/>
      <c r="D19" s="1369"/>
    </row>
    <row r="20" spans="2:13" ht="18" customHeight="1">
      <c r="C20" s="358"/>
      <c r="D20" s="358"/>
    </row>
    <row r="21" spans="2:13" ht="7.5" customHeight="1">
      <c r="F21" s="14"/>
      <c r="G21" s="14"/>
      <c r="H21" s="14"/>
      <c r="I21" s="14"/>
      <c r="J21" s="14"/>
      <c r="K21" s="14"/>
      <c r="L21" s="14"/>
      <c r="M21" s="14"/>
    </row>
    <row r="22" spans="2:13" ht="24.75" customHeight="1">
      <c r="H22" s="14"/>
      <c r="I22" s="14"/>
      <c r="J22" s="14"/>
      <c r="K22" s="14"/>
      <c r="L22" s="14"/>
      <c r="M22" s="14"/>
    </row>
    <row r="23" spans="2:13">
      <c r="B23" s="1096"/>
      <c r="C23" s="1096"/>
      <c r="D23" s="548"/>
      <c r="E23" s="431"/>
      <c r="F23" s="431"/>
      <c r="G23" s="431"/>
      <c r="H23" s="431"/>
      <c r="I23" s="431"/>
      <c r="J23" s="431"/>
      <c r="K23" s="14"/>
      <c r="L23" s="14"/>
    </row>
    <row r="24" spans="2:13" ht="12.75">
      <c r="C24" s="15"/>
      <c r="D24" s="15"/>
      <c r="E24" s="35"/>
      <c r="F24" s="35"/>
      <c r="G24" s="35"/>
      <c r="H24" s="35"/>
      <c r="I24" s="35"/>
      <c r="J24" s="35"/>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pageSetUpPr fitToPage="1"/>
  </sheetPr>
  <dimension ref="B1:P43"/>
  <sheetViews>
    <sheetView zoomScaleNormal="100" zoomScaleSheetLayoutView="75" workbookViewId="0">
      <selection activeCell="F19" sqref="F19"/>
    </sheetView>
  </sheetViews>
  <sheetFormatPr baseColWidth="10" defaultColWidth="10.90625" defaultRowHeight="12"/>
  <cols>
    <col min="1" max="1" width="1.36328125" style="127" customWidth="1"/>
    <col min="2" max="3" width="6.81640625" style="489" customWidth="1"/>
    <col min="4" max="4" width="8.36328125" style="142" customWidth="1"/>
    <col min="5" max="5" width="8.7265625" style="142" customWidth="1"/>
    <col min="6" max="6" width="8.08984375" style="142" customWidth="1"/>
    <col min="7" max="7" width="8.26953125" style="142" customWidth="1"/>
    <col min="8" max="8" width="7.81640625" style="142" customWidth="1"/>
    <col min="9" max="9" width="9.26953125" style="142" customWidth="1"/>
    <col min="10" max="10" width="1.7265625" style="142" customWidth="1"/>
    <col min="11" max="16" width="10.90625" style="142"/>
    <col min="17" max="16384" width="10.90625" style="127"/>
  </cols>
  <sheetData>
    <row r="1" spans="2:16" s="490" customFormat="1" ht="12.75">
      <c r="B1" s="1098" t="s">
        <v>79</v>
      </c>
      <c r="C1" s="1098"/>
      <c r="D1" s="1098"/>
      <c r="E1" s="1098"/>
      <c r="F1" s="1098"/>
      <c r="G1" s="1098"/>
      <c r="H1" s="1098"/>
      <c r="I1" s="1098"/>
      <c r="J1" s="476"/>
      <c r="K1" s="476"/>
      <c r="L1" s="476"/>
      <c r="M1" s="476"/>
      <c r="N1" s="476"/>
      <c r="O1" s="476"/>
      <c r="P1" s="476"/>
    </row>
    <row r="2" spans="2:16" s="490" customFormat="1" ht="12.75">
      <c r="B2" s="230"/>
      <c r="C2" s="230"/>
      <c r="D2" s="488"/>
      <c r="E2" s="141"/>
      <c r="F2" s="141"/>
      <c r="G2" s="141"/>
      <c r="H2" s="141"/>
      <c r="I2" s="141"/>
      <c r="J2" s="476"/>
      <c r="K2" s="476"/>
      <c r="L2" s="476"/>
      <c r="M2" s="476"/>
      <c r="N2" s="476"/>
      <c r="O2" s="476"/>
      <c r="P2" s="476"/>
    </row>
    <row r="3" spans="2:16" s="490" customFormat="1" ht="12.75">
      <c r="B3" s="1098" t="s">
        <v>462</v>
      </c>
      <c r="C3" s="1098"/>
      <c r="D3" s="1098"/>
      <c r="E3" s="1098"/>
      <c r="F3" s="1098"/>
      <c r="G3" s="1098"/>
      <c r="H3" s="1098"/>
      <c r="I3" s="1098"/>
      <c r="J3" s="476"/>
      <c r="K3" s="476"/>
      <c r="L3" s="476"/>
      <c r="M3" s="476"/>
      <c r="N3" s="476"/>
      <c r="O3" s="476"/>
      <c r="P3" s="476"/>
    </row>
    <row r="4" spans="2:16" s="490" customFormat="1" ht="12.75">
      <c r="B4" s="1098" t="s">
        <v>335</v>
      </c>
      <c r="C4" s="1098"/>
      <c r="D4" s="1098"/>
      <c r="E4" s="1098"/>
      <c r="F4" s="1098"/>
      <c r="G4" s="1098"/>
      <c r="H4" s="1098"/>
      <c r="I4" s="1098"/>
      <c r="J4" s="476"/>
      <c r="K4" s="476"/>
      <c r="L4" s="476"/>
      <c r="M4" s="476"/>
      <c r="N4" s="476"/>
      <c r="O4" s="476"/>
      <c r="P4" s="476"/>
    </row>
    <row r="5" spans="2:16" s="490" customFormat="1" ht="78.75" customHeight="1">
      <c r="B5" s="643" t="s">
        <v>96</v>
      </c>
      <c r="C5" s="644" t="s">
        <v>338</v>
      </c>
      <c r="D5" s="644" t="s">
        <v>336</v>
      </c>
      <c r="E5" s="644" t="s">
        <v>337</v>
      </c>
      <c r="F5" s="644" t="s">
        <v>339</v>
      </c>
      <c r="G5" s="644" t="s">
        <v>340</v>
      </c>
      <c r="H5" s="644" t="s">
        <v>440</v>
      </c>
      <c r="I5" s="644" t="s">
        <v>403</v>
      </c>
      <c r="J5" s="476"/>
      <c r="K5" s="344"/>
      <c r="L5" s="344"/>
      <c r="M5" s="344"/>
      <c r="N5" s="344"/>
      <c r="O5" s="476"/>
      <c r="P5" s="476"/>
    </row>
    <row r="6" spans="2:16" ht="15.75" customHeight="1">
      <c r="B6" s="617">
        <v>43831</v>
      </c>
      <c r="C6" s="616">
        <v>449.41</v>
      </c>
      <c r="D6" s="616">
        <v>446.32</v>
      </c>
      <c r="E6" s="616">
        <v>443.64</v>
      </c>
      <c r="F6" s="616"/>
      <c r="G6" s="616">
        <v>485.83611795904483</v>
      </c>
      <c r="H6" s="616">
        <v>274.48368246273719</v>
      </c>
      <c r="I6" s="616">
        <v>268.46766124576266</v>
      </c>
      <c r="L6" s="593"/>
    </row>
    <row r="7" spans="2:16" ht="15.75" customHeight="1">
      <c r="B7" s="617">
        <v>43862</v>
      </c>
      <c r="C7" s="616">
        <v>449.65</v>
      </c>
      <c r="D7" s="616">
        <v>446.05</v>
      </c>
      <c r="E7" s="616">
        <v>444.9</v>
      </c>
      <c r="F7" s="616"/>
      <c r="G7" s="616">
        <v>487.76342375700193</v>
      </c>
      <c r="H7" s="616">
        <v>275.57255579491635</v>
      </c>
      <c r="I7" s="616">
        <v>269.76252324376497</v>
      </c>
      <c r="L7" s="593"/>
    </row>
    <row r="8" spans="2:16" ht="15.75" customHeight="1">
      <c r="B8" s="617">
        <v>43891</v>
      </c>
      <c r="C8" s="616">
        <v>487.86</v>
      </c>
      <c r="D8" s="616">
        <v>484.59</v>
      </c>
      <c r="E8" s="616">
        <v>479.55</v>
      </c>
      <c r="F8" s="616">
        <v>273.0146006096337</v>
      </c>
      <c r="G8" s="616">
        <v>494.50513305175457</v>
      </c>
      <c r="H8" s="616">
        <v>279.38143110268618</v>
      </c>
      <c r="I8" s="616">
        <v>268.34214893235429</v>
      </c>
      <c r="L8" s="593"/>
    </row>
    <row r="9" spans="2:16" ht="15.75" customHeight="1">
      <c r="B9" s="617">
        <v>43922</v>
      </c>
      <c r="C9" s="616">
        <v>562.1</v>
      </c>
      <c r="D9" s="616">
        <v>559.04999999999995</v>
      </c>
      <c r="E9" s="616">
        <v>547.42999999999995</v>
      </c>
      <c r="F9" s="616">
        <v>278.76079693558427</v>
      </c>
      <c r="G9" s="616">
        <v>485.93022164445802</v>
      </c>
      <c r="H9" s="616">
        <v>274.53684838669943</v>
      </c>
      <c r="I9" s="616">
        <v>274.10297874335004</v>
      </c>
      <c r="L9" s="593"/>
    </row>
    <row r="10" spans="2:16" ht="15.75" customHeight="1">
      <c r="B10" s="617">
        <v>43952</v>
      </c>
      <c r="C10" s="616">
        <v>519.80999999999995</v>
      </c>
      <c r="D10" s="616">
        <v>516.62</v>
      </c>
      <c r="E10" s="616">
        <v>510.52</v>
      </c>
      <c r="F10" s="616">
        <v>291.13165082048687</v>
      </c>
      <c r="G10" s="616">
        <v>488.60434020492249</v>
      </c>
      <c r="H10" s="616">
        <v>276.04764983328954</v>
      </c>
      <c r="I10" s="616">
        <v>285.47388583449589</v>
      </c>
      <c r="L10" s="593"/>
    </row>
    <row r="11" spans="2:16" ht="15.75" customHeight="1">
      <c r="B11" s="617">
        <v>43983</v>
      </c>
      <c r="C11" s="616">
        <v>517.5</v>
      </c>
      <c r="D11" s="616">
        <v>514.32000000000005</v>
      </c>
      <c r="E11" s="616">
        <v>507.91</v>
      </c>
      <c r="F11" s="616">
        <v>296.44767383187002</v>
      </c>
      <c r="G11" s="616">
        <v>506.83333341292433</v>
      </c>
      <c r="H11" s="616">
        <v>286.34651605249962</v>
      </c>
      <c r="I11" s="616">
        <v>294.44192148551821</v>
      </c>
      <c r="L11" s="593"/>
    </row>
    <row r="12" spans="2:16" ht="15.75" customHeight="1">
      <c r="B12" s="617">
        <v>44013</v>
      </c>
      <c r="C12" s="616">
        <v>481.35</v>
      </c>
      <c r="D12" s="616">
        <v>478.09</v>
      </c>
      <c r="E12" s="616">
        <v>474</v>
      </c>
      <c r="F12" s="616">
        <v>296.91741108406711</v>
      </c>
      <c r="G12" s="616">
        <v>534.75582564397189</v>
      </c>
      <c r="H12" s="616">
        <v>302.12193539207453</v>
      </c>
      <c r="I12" s="616">
        <v>295.17158767983892</v>
      </c>
      <c r="L12" s="593"/>
    </row>
    <row r="13" spans="2:16" ht="15.75" customHeight="1">
      <c r="B13" s="617">
        <v>44044</v>
      </c>
      <c r="C13" s="616">
        <v>498.19</v>
      </c>
      <c r="D13" s="616">
        <v>495.19</v>
      </c>
      <c r="E13" s="616">
        <v>489.52</v>
      </c>
      <c r="F13" s="616">
        <v>291.84614992480823</v>
      </c>
      <c r="G13" s="616">
        <v>546.97583411464359</v>
      </c>
      <c r="H13" s="616">
        <v>309.02589498002465</v>
      </c>
      <c r="I13" s="616">
        <v>323.55908414821954</v>
      </c>
      <c r="L13" s="593"/>
    </row>
    <row r="14" spans="2:16" ht="15.75" customHeight="1">
      <c r="B14" s="617">
        <v>44075</v>
      </c>
      <c r="C14" s="616">
        <v>511.14</v>
      </c>
      <c r="D14" s="616">
        <v>507.45</v>
      </c>
      <c r="E14" s="616">
        <v>500.95</v>
      </c>
      <c r="F14" s="616"/>
      <c r="G14" s="616">
        <v>547.30008592686488</v>
      </c>
      <c r="H14" s="616">
        <v>309.20908809427397</v>
      </c>
      <c r="I14" s="616">
        <v>399.7482975605551</v>
      </c>
      <c r="L14" s="593"/>
    </row>
    <row r="15" spans="2:16" ht="15.75" customHeight="1">
      <c r="B15" s="617">
        <v>44105</v>
      </c>
      <c r="C15" s="616">
        <v>477.5</v>
      </c>
      <c r="D15" s="616">
        <v>474.18</v>
      </c>
      <c r="E15" s="616">
        <v>471.68</v>
      </c>
      <c r="F15" s="616"/>
      <c r="G15" s="616">
        <v>611.45540506874011</v>
      </c>
      <c r="H15" s="616">
        <v>345.45503111228254</v>
      </c>
      <c r="I15" s="616">
        <v>404.84333117663368</v>
      </c>
      <c r="L15" s="593"/>
    </row>
    <row r="16" spans="2:16" ht="15.75" customHeight="1">
      <c r="B16" s="617">
        <v>44136</v>
      </c>
      <c r="C16" s="616">
        <v>484.24</v>
      </c>
      <c r="D16" s="616">
        <v>480.62</v>
      </c>
      <c r="E16" s="616">
        <v>479.48</v>
      </c>
      <c r="F16" s="616"/>
      <c r="G16" s="616">
        <v>657.03983530257608</v>
      </c>
      <c r="H16" s="616">
        <v>371.20894649863055</v>
      </c>
      <c r="I16" s="616">
        <v>385.96019122371985</v>
      </c>
      <c r="L16" s="593"/>
    </row>
    <row r="17" spans="2:14" ht="15.75" customHeight="1">
      <c r="B17" s="617">
        <v>44166</v>
      </c>
      <c r="C17" s="616">
        <v>518.64</v>
      </c>
      <c r="D17" s="616">
        <v>515.45000000000005</v>
      </c>
      <c r="E17" s="616">
        <v>512.23</v>
      </c>
      <c r="F17" s="616"/>
      <c r="G17" s="616">
        <v>522.55345354356325</v>
      </c>
      <c r="H17" s="616">
        <v>295.2279398551205</v>
      </c>
      <c r="I17" s="616">
        <v>380.64937613685606</v>
      </c>
      <c r="L17" s="593"/>
    </row>
    <row r="18" spans="2:14" ht="15.75" customHeight="1">
      <c r="B18" s="617">
        <v>44197</v>
      </c>
      <c r="C18" s="616">
        <v>538.1</v>
      </c>
      <c r="D18" s="616">
        <v>534.45000000000005</v>
      </c>
      <c r="E18" s="616">
        <v>530.04999999999995</v>
      </c>
      <c r="F18" s="616"/>
      <c r="G18" s="616">
        <v>524.3046206835927</v>
      </c>
      <c r="H18" s="616">
        <v>296.21729982123884</v>
      </c>
      <c r="I18" s="616">
        <v>354.63184719282259</v>
      </c>
      <c r="K18" s="801"/>
      <c r="L18" s="593"/>
    </row>
    <row r="19" spans="2:14" ht="15.75" customHeight="1">
      <c r="B19" s="617">
        <v>44228</v>
      </c>
      <c r="C19" s="616">
        <v>557.4</v>
      </c>
      <c r="D19" s="616">
        <v>553.65</v>
      </c>
      <c r="E19" s="616">
        <v>548.79999999999995</v>
      </c>
      <c r="F19" s="616"/>
      <c r="G19" s="616">
        <v>570.13865280248558</v>
      </c>
      <c r="H19" s="616">
        <v>322.11223322174328</v>
      </c>
      <c r="I19" s="616">
        <v>346.645816900304</v>
      </c>
      <c r="K19" s="801"/>
      <c r="L19" s="593"/>
    </row>
    <row r="20" spans="2:14" ht="15" customHeight="1">
      <c r="B20" s="1296" t="s">
        <v>604</v>
      </c>
      <c r="C20" s="1296"/>
      <c r="D20" s="1296"/>
      <c r="E20" s="1296"/>
      <c r="F20" s="1296"/>
      <c r="G20" s="1296"/>
      <c r="H20" s="1296"/>
      <c r="I20" s="1296"/>
      <c r="K20" s="344"/>
      <c r="L20" s="344"/>
      <c r="M20" s="344"/>
      <c r="N20" s="344"/>
    </row>
    <row r="21" spans="2:14" ht="24" customHeight="1">
      <c r="B21" s="1296"/>
      <c r="C21" s="1296"/>
      <c r="D21" s="1296"/>
      <c r="E21" s="1296"/>
      <c r="F21" s="1296"/>
      <c r="G21" s="1296"/>
      <c r="H21" s="1296"/>
      <c r="I21" s="1296"/>
      <c r="K21" s="344"/>
      <c r="L21" s="344"/>
      <c r="M21" s="344"/>
      <c r="N21" s="344"/>
    </row>
    <row r="22" spans="2:14" ht="15" customHeight="1">
      <c r="K22" s="344"/>
      <c r="L22" s="344"/>
      <c r="M22" s="344"/>
      <c r="N22" s="344"/>
    </row>
    <row r="23" spans="2:14" ht="15" customHeight="1">
      <c r="K23" s="344"/>
      <c r="L23" s="344"/>
      <c r="M23" s="344"/>
      <c r="N23" s="344"/>
    </row>
    <row r="24" spans="2:14" ht="15" customHeight="1"/>
    <row r="25" spans="2:14" ht="15" customHeight="1"/>
    <row r="26" spans="2:14" ht="15" customHeight="1"/>
    <row r="27" spans="2:14" ht="15" customHeight="1"/>
    <row r="28" spans="2:14" ht="15" customHeight="1"/>
    <row r="29" spans="2:14" ht="15" customHeight="1"/>
    <row r="30" spans="2:14" ht="15" customHeight="1"/>
    <row r="31" spans="2:14" ht="15" customHeight="1"/>
    <row r="32" spans="2:14" ht="13.5" customHeight="1"/>
    <row r="33" spans="2:9" ht="13.5" customHeight="1"/>
    <row r="34" spans="2:9" ht="13.5" customHeight="1"/>
    <row r="35" spans="2:9" ht="13.5" customHeight="1"/>
    <row r="36" spans="2:9" ht="13.5" customHeight="1"/>
    <row r="37" spans="2:9" ht="13.5" customHeight="1"/>
    <row r="38" spans="2:9" ht="30" customHeight="1"/>
    <row r="39" spans="2:9" ht="12.75" hidden="1" customHeight="1"/>
    <row r="40" spans="2:9" ht="11.25" customHeight="1"/>
    <row r="41" spans="2:9" hidden="1"/>
    <row r="42" spans="2:9">
      <c r="B42" s="1295" t="s">
        <v>479</v>
      </c>
      <c r="C42" s="1295"/>
      <c r="D42" s="1295"/>
      <c r="E42" s="1295"/>
      <c r="F42" s="1295"/>
      <c r="G42" s="1295"/>
      <c r="H42" s="1295"/>
      <c r="I42" s="1295"/>
    </row>
    <row r="43" spans="2:9" ht="18.75" customHeight="1">
      <c r="B43" s="1295"/>
      <c r="C43" s="1295"/>
      <c r="D43" s="1295"/>
      <c r="E43" s="1295"/>
      <c r="F43" s="1295"/>
      <c r="G43" s="1295"/>
      <c r="H43" s="1295"/>
      <c r="I43" s="1295"/>
    </row>
  </sheetData>
  <mergeCells count="5">
    <mergeCell ref="B1:I1"/>
    <mergeCell ref="B3:I3"/>
    <mergeCell ref="B4:I4"/>
    <mergeCell ref="B20:I21"/>
    <mergeCell ref="B42:I43"/>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pageSetUpPr fitToPage="1"/>
  </sheetPr>
  <dimension ref="F1:S26"/>
  <sheetViews>
    <sheetView zoomScaleNormal="100" workbookViewId="0">
      <pane ySplit="1" topLeftCell="A2" activePane="bottomLeft" state="frozen"/>
      <selection pane="bottomLeft" activeCell="G12" sqref="G12"/>
    </sheetView>
  </sheetViews>
  <sheetFormatPr baseColWidth="10" defaultColWidth="10.90625" defaultRowHeight="12.75"/>
  <cols>
    <col min="1" max="1" width="8" style="132" customWidth="1"/>
    <col min="2" max="4" width="10.90625" style="132"/>
    <col min="5" max="5" width="21.36328125" style="132" customWidth="1"/>
    <col min="6" max="6" width="10.90625" style="907"/>
    <col min="7" max="7" width="10.90625" style="756" customWidth="1"/>
    <col min="8" max="8" width="15.08984375" style="756" bestFit="1" customWidth="1"/>
    <col min="9" max="13" width="10.90625" style="589"/>
    <col min="14" max="19" width="10.90625" style="907"/>
    <col min="20" max="16384" width="10.90625" style="132"/>
  </cols>
  <sheetData>
    <row r="1" spans="7:13">
      <c r="H1" s="756" t="s">
        <v>361</v>
      </c>
      <c r="I1" s="902">
        <v>44256</v>
      </c>
      <c r="J1" s="902">
        <v>44317</v>
      </c>
      <c r="K1" s="902">
        <v>44378</v>
      </c>
      <c r="L1" s="902">
        <v>44440</v>
      </c>
      <c r="M1" s="902">
        <v>44501</v>
      </c>
    </row>
    <row r="2" spans="7:13">
      <c r="G2" s="997">
        <v>44095</v>
      </c>
      <c r="H2" s="589" t="s">
        <v>635</v>
      </c>
      <c r="I2" s="903">
        <v>276.57013351205489</v>
      </c>
      <c r="J2" s="903">
        <v>278.11337060618354</v>
      </c>
      <c r="K2" s="903">
        <v>279.32591403728458</v>
      </c>
      <c r="L2" s="903">
        <v>273.04273443976081</v>
      </c>
      <c r="M2" s="903">
        <v>273.04273443976081</v>
      </c>
    </row>
    <row r="3" spans="7:13">
      <c r="G3" s="997">
        <v>44102</v>
      </c>
      <c r="H3" s="589" t="s">
        <v>636</v>
      </c>
      <c r="I3" s="903">
        <v>281.97146334150517</v>
      </c>
      <c r="J3" s="903">
        <v>283.73516287765216</v>
      </c>
      <c r="K3" s="903">
        <v>284.94770630875325</v>
      </c>
      <c r="L3" s="903">
        <v>268.96417926242088</v>
      </c>
      <c r="M3" s="903">
        <v>268.96417926242088</v>
      </c>
    </row>
    <row r="4" spans="7:13">
      <c r="G4" s="997">
        <v>44109</v>
      </c>
      <c r="H4" s="589" t="s">
        <v>637</v>
      </c>
      <c r="I4" s="903">
        <v>286.16024973985429</v>
      </c>
      <c r="J4" s="903">
        <v>286.93186828691864</v>
      </c>
      <c r="K4" s="903">
        <v>288.14441171801968</v>
      </c>
      <c r="L4" s="903">
        <v>268.96417926242088</v>
      </c>
      <c r="M4" s="903">
        <v>268.96417926242088</v>
      </c>
    </row>
    <row r="5" spans="7:13">
      <c r="G5" s="997">
        <v>44116</v>
      </c>
      <c r="H5" s="589" t="s">
        <v>638</v>
      </c>
      <c r="I5" s="903">
        <v>278.00313938517434</v>
      </c>
      <c r="J5" s="903">
        <v>278.77475793223863</v>
      </c>
      <c r="K5" s="903">
        <v>279.98730136333972</v>
      </c>
      <c r="L5" s="903">
        <v>263.56284943297061</v>
      </c>
      <c r="M5" s="903">
        <v>263.56284943297061</v>
      </c>
    </row>
    <row r="6" spans="7:13">
      <c r="G6" s="997">
        <v>44123</v>
      </c>
      <c r="H6" s="589" t="s">
        <v>646</v>
      </c>
      <c r="I6" s="903">
        <v>282.30215700453266</v>
      </c>
      <c r="J6" s="903">
        <v>283.07377555159701</v>
      </c>
      <c r="K6" s="903">
        <v>284.28631898269811</v>
      </c>
      <c r="L6" s="903">
        <v>270.39718513554033</v>
      </c>
      <c r="M6" s="903">
        <v>270.39718513554033</v>
      </c>
    </row>
    <row r="7" spans="7:13">
      <c r="G7" s="997">
        <v>44130</v>
      </c>
      <c r="H7" s="589" t="s">
        <v>647</v>
      </c>
      <c r="I7" s="903">
        <v>278.33383304820188</v>
      </c>
      <c r="J7" s="903">
        <v>280.64868868939487</v>
      </c>
      <c r="K7" s="903">
        <v>282.96354433058787</v>
      </c>
      <c r="L7" s="903">
        <v>265.547011411136</v>
      </c>
      <c r="M7" s="903">
        <v>265.547011411136</v>
      </c>
    </row>
    <row r="8" spans="7:13">
      <c r="G8" s="997">
        <v>44137</v>
      </c>
      <c r="H8" s="589" t="s">
        <v>648</v>
      </c>
      <c r="I8" s="903">
        <v>274.58597153388945</v>
      </c>
      <c r="J8" s="903">
        <v>276.79059595407324</v>
      </c>
      <c r="K8" s="903">
        <v>279.10545159526623</v>
      </c>
      <c r="L8" s="903">
        <v>261.46845623379596</v>
      </c>
      <c r="M8" s="903">
        <v>261.46845623379596</v>
      </c>
    </row>
    <row r="9" spans="7:13">
      <c r="G9" s="997">
        <v>44144</v>
      </c>
      <c r="H9" s="589" t="s">
        <v>649</v>
      </c>
      <c r="I9" s="903">
        <v>277.34175205911919</v>
      </c>
      <c r="J9" s="903">
        <v>279.21568281627543</v>
      </c>
      <c r="K9" s="903">
        <v>281.53053845746837</v>
      </c>
      <c r="L9" s="903">
        <v>265.547011411136</v>
      </c>
      <c r="M9" s="903">
        <v>265.547011411136</v>
      </c>
    </row>
    <row r="10" spans="7:13">
      <c r="G10" s="997">
        <v>44151</v>
      </c>
      <c r="H10" s="756" t="s">
        <v>651</v>
      </c>
      <c r="I10" s="903">
        <v>275.0268964179262</v>
      </c>
      <c r="J10" s="903">
        <v>276.90082717508244</v>
      </c>
      <c r="K10" s="903">
        <v>279.21568281627543</v>
      </c>
      <c r="L10" s="903">
        <v>263.67308065397981</v>
      </c>
      <c r="M10" s="903">
        <v>263.67308065397981</v>
      </c>
    </row>
    <row r="11" spans="7:13">
      <c r="G11" s="997">
        <v>44158</v>
      </c>
      <c r="H11" s="756" t="s">
        <v>652</v>
      </c>
      <c r="I11" s="903">
        <v>277.67244572214679</v>
      </c>
      <c r="J11" s="903">
        <v>279.98730136333972</v>
      </c>
      <c r="K11" s="903">
        <v>282.30215700453266</v>
      </c>
      <c r="L11" s="903">
        <v>265.547011411136</v>
      </c>
      <c r="M11" s="903">
        <v>265.547011411136</v>
      </c>
    </row>
    <row r="12" spans="7:13">
      <c r="G12" s="997">
        <v>44165</v>
      </c>
      <c r="H12" s="756" t="s">
        <v>653</v>
      </c>
      <c r="I12" s="903">
        <v>280.75891991040402</v>
      </c>
      <c r="J12" s="903">
        <v>282.19192578352352</v>
      </c>
      <c r="K12" s="903">
        <v>284.50678142471651</v>
      </c>
      <c r="L12" s="903">
        <v>262.68099966489712</v>
      </c>
      <c r="M12" s="903">
        <v>262.79123088590626</v>
      </c>
    </row>
    <row r="13" spans="7:13">
      <c r="G13" s="997">
        <v>44172</v>
      </c>
      <c r="H13" s="756" t="s">
        <v>654</v>
      </c>
      <c r="I13" s="903">
        <v>275.3575900809538</v>
      </c>
      <c r="J13" s="903">
        <v>277.12128961710084</v>
      </c>
      <c r="K13" s="903">
        <v>279.43614525829378</v>
      </c>
      <c r="L13" s="903">
        <v>265.10608652709925</v>
      </c>
      <c r="M13" s="903">
        <v>265.21631774810845</v>
      </c>
    </row>
    <row r="14" spans="7:13">
      <c r="G14" s="997">
        <v>44179</v>
      </c>
      <c r="H14" s="756" t="s">
        <v>659</v>
      </c>
      <c r="I14" s="903">
        <v>277.78267694315599</v>
      </c>
      <c r="J14" s="903">
        <v>280.09753258434893</v>
      </c>
      <c r="K14" s="903">
        <v>283.29423799361541</v>
      </c>
      <c r="L14" s="903">
        <v>265.6572426321452</v>
      </c>
      <c r="M14" s="903">
        <v>265.76747385315434</v>
      </c>
    </row>
    <row r="15" spans="7:13">
      <c r="G15" s="997">
        <v>44186</v>
      </c>
      <c r="H15" s="756" t="s">
        <v>660</v>
      </c>
      <c r="I15" s="903">
        <v>275.6882837439814</v>
      </c>
      <c r="J15" s="903">
        <v>278.66452671122948</v>
      </c>
      <c r="K15" s="903">
        <v>281.86123212049591</v>
      </c>
      <c r="L15" s="903">
        <v>256.83874495141009</v>
      </c>
      <c r="M15" s="903">
        <v>256.94897617241924</v>
      </c>
    </row>
    <row r="16" spans="7:13">
      <c r="G16" s="997">
        <v>44193</v>
      </c>
      <c r="H16" s="756" t="s">
        <v>661</v>
      </c>
      <c r="I16" s="903">
        <v>271.16880368260462</v>
      </c>
      <c r="J16" s="903">
        <v>275.5780525229722</v>
      </c>
      <c r="K16" s="903">
        <v>278.66452671122948</v>
      </c>
      <c r="L16" s="903">
        <v>255.29550785728142</v>
      </c>
      <c r="M16" s="903">
        <v>255.40573907829062</v>
      </c>
    </row>
    <row r="17" spans="7:13">
      <c r="G17" s="997">
        <v>44200</v>
      </c>
      <c r="H17" s="756" t="s">
        <v>662</v>
      </c>
      <c r="I17" s="903">
        <v>280.53845746838567</v>
      </c>
      <c r="J17" s="903">
        <v>284.1760877616889</v>
      </c>
      <c r="K17" s="903">
        <v>286.4909434028819</v>
      </c>
      <c r="L17" s="903">
        <v>262.79123088590626</v>
      </c>
      <c r="M17" s="903">
        <v>262.90146210691546</v>
      </c>
    </row>
    <row r="18" spans="7:13">
      <c r="G18" s="997">
        <v>44207</v>
      </c>
      <c r="H18" s="756" t="s">
        <v>663</v>
      </c>
      <c r="I18" s="903">
        <v>277.34175205911919</v>
      </c>
      <c r="J18" s="903">
        <v>281.08961357343162</v>
      </c>
      <c r="K18" s="903">
        <v>282.52261944655106</v>
      </c>
      <c r="L18" s="903">
        <v>266.31862995820029</v>
      </c>
      <c r="M18" s="903">
        <v>266.42886117920949</v>
      </c>
    </row>
    <row r="19" spans="7:13">
      <c r="G19" s="997">
        <v>44215</v>
      </c>
      <c r="H19" s="756" t="s">
        <v>697</v>
      </c>
      <c r="I19" s="903">
        <v>290.90019224324942</v>
      </c>
      <c r="J19" s="903">
        <v>294.75828497857106</v>
      </c>
      <c r="K19" s="903">
        <v>294.97874742058946</v>
      </c>
      <c r="L19" s="903">
        <v>277.12128961710084</v>
      </c>
      <c r="M19" s="903">
        <v>277.23152083811004</v>
      </c>
    </row>
    <row r="20" spans="7:13">
      <c r="G20" s="997">
        <v>44221</v>
      </c>
      <c r="H20" s="756" t="s">
        <v>698</v>
      </c>
      <c r="I20" s="903">
        <v>291.78204201132291</v>
      </c>
      <c r="J20" s="903">
        <v>295.86059718866295</v>
      </c>
      <c r="K20" s="903">
        <v>296.0810596306813</v>
      </c>
      <c r="L20" s="903">
        <v>277.67244572214679</v>
      </c>
      <c r="M20" s="903">
        <v>277.78267694315599</v>
      </c>
    </row>
    <row r="21" spans="7:13">
      <c r="G21" s="997">
        <v>44228</v>
      </c>
      <c r="H21" s="756" t="s">
        <v>699</v>
      </c>
      <c r="I21" s="903">
        <v>294.09689765251591</v>
      </c>
      <c r="J21" s="903">
        <v>299.05730259792938</v>
      </c>
      <c r="K21" s="903">
        <v>299.82892114499373</v>
      </c>
      <c r="L21" s="903">
        <v>282.63285066756026</v>
      </c>
      <c r="M21" s="903">
        <v>282.74308188856946</v>
      </c>
    </row>
    <row r="22" spans="7:13">
      <c r="G22" s="997">
        <v>44235</v>
      </c>
      <c r="H22" s="756" t="s">
        <v>700</v>
      </c>
      <c r="I22" s="903">
        <v>285.93978729783595</v>
      </c>
      <c r="J22" s="903">
        <v>291.67181079031377</v>
      </c>
      <c r="K22" s="903">
        <v>295.1992098626078</v>
      </c>
      <c r="L22" s="903">
        <v>282.52261944655106</v>
      </c>
      <c r="M22" s="903">
        <v>282.63285066756026</v>
      </c>
    </row>
    <row r="23" spans="7:13">
      <c r="G23" s="997">
        <v>44243</v>
      </c>
      <c r="H23" s="756" t="s">
        <v>721</v>
      </c>
      <c r="I23" s="903">
        <v>280.31799502636727</v>
      </c>
      <c r="J23" s="903">
        <v>286.71140584490024</v>
      </c>
      <c r="K23" s="903">
        <v>290.56949858022188</v>
      </c>
      <c r="L23" s="903">
        <v>280.86915113141322</v>
      </c>
      <c r="M23" s="903">
        <v>280.97938235242248</v>
      </c>
    </row>
    <row r="24" spans="7:13">
      <c r="G24" s="997">
        <v>44249</v>
      </c>
      <c r="H24" s="756" t="s">
        <v>722</v>
      </c>
      <c r="I24" s="903">
        <v>284.1760877616889</v>
      </c>
      <c r="J24" s="903">
        <v>291.01042346425862</v>
      </c>
      <c r="K24" s="903">
        <v>295.5299035256354</v>
      </c>
      <c r="L24" s="903">
        <v>281.64076967847757</v>
      </c>
      <c r="M24" s="903">
        <v>281.75100089948677</v>
      </c>
    </row>
    <row r="25" spans="7:13">
      <c r="G25" s="997">
        <v>44256</v>
      </c>
      <c r="H25" s="756" t="s">
        <v>723</v>
      </c>
      <c r="I25" s="903">
        <v>282.08169456251431</v>
      </c>
      <c r="J25" s="903">
        <v>288.47510538104729</v>
      </c>
      <c r="K25" s="903">
        <v>293.54574154746996</v>
      </c>
      <c r="L25" s="903">
        <v>281.64076967847757</v>
      </c>
      <c r="M25" s="903">
        <v>281.75100089948677</v>
      </c>
    </row>
    <row r="26" spans="7:13">
      <c r="G26" s="997">
        <v>44263</v>
      </c>
      <c r="H26" s="756" t="s">
        <v>730</v>
      </c>
      <c r="I26" s="903">
        <v>285.93978729783595</v>
      </c>
      <c r="J26" s="903">
        <v>292.11273567435052</v>
      </c>
      <c r="K26" s="903">
        <v>295.86059718866295</v>
      </c>
      <c r="L26" s="903">
        <v>282.41238822554192</v>
      </c>
      <c r="M26" s="903">
        <v>283.07377555159701</v>
      </c>
    </row>
  </sheetData>
  <phoneticPr fontId="43"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pageSetUpPr fitToPage="1"/>
  </sheetPr>
  <dimension ref="B1:J23"/>
  <sheetViews>
    <sheetView zoomScaleNormal="100" workbookViewId="0">
      <selection activeCell="E23" sqref="E23"/>
    </sheetView>
  </sheetViews>
  <sheetFormatPr baseColWidth="10" defaultRowHeight="18"/>
  <cols>
    <col min="1" max="1" width="1.54296875" customWidth="1"/>
    <col min="2" max="8" width="8.7265625" customWidth="1"/>
  </cols>
  <sheetData>
    <row r="1" spans="2:10">
      <c r="B1" s="1371" t="s">
        <v>348</v>
      </c>
      <c r="C1" s="1371"/>
      <c r="D1" s="1371"/>
      <c r="E1" s="1371"/>
      <c r="F1" s="1371"/>
      <c r="G1" s="1371"/>
      <c r="H1" s="1371"/>
    </row>
    <row r="2" spans="2:10">
      <c r="B2" s="432"/>
      <c r="C2" s="432"/>
      <c r="D2" s="432"/>
      <c r="E2" s="432"/>
      <c r="F2" s="432"/>
      <c r="G2" s="432"/>
      <c r="H2" s="432"/>
    </row>
    <row r="3" spans="2:10" ht="35.25" customHeight="1">
      <c r="B3" s="1184" t="s">
        <v>258</v>
      </c>
      <c r="C3" s="1184"/>
      <c r="D3" s="1184"/>
      <c r="E3" s="1184"/>
      <c r="F3" s="1184"/>
      <c r="G3" s="1184"/>
      <c r="H3" s="1184"/>
    </row>
    <row r="4" spans="2:10" ht="18" customHeight="1">
      <c r="B4" s="1372" t="s">
        <v>678</v>
      </c>
      <c r="C4" s="1373"/>
      <c r="D4" s="1373"/>
      <c r="E4" s="1373"/>
      <c r="F4" s="1373"/>
      <c r="G4" s="1373"/>
      <c r="H4" s="1373"/>
    </row>
    <row r="5" spans="2:10" ht="18" customHeight="1">
      <c r="B5" s="1374" t="s">
        <v>427</v>
      </c>
      <c r="C5" s="1374"/>
      <c r="D5" s="1374"/>
      <c r="E5" s="1374"/>
      <c r="F5" s="1374"/>
      <c r="G5" s="1374"/>
      <c r="H5" s="1374"/>
    </row>
    <row r="6" spans="2:10" ht="60.75" customHeight="1">
      <c r="B6" s="433" t="s">
        <v>341</v>
      </c>
      <c r="C6" s="434" t="s">
        <v>342</v>
      </c>
      <c r="D6" s="434" t="s">
        <v>343</v>
      </c>
      <c r="E6" s="434" t="s">
        <v>344</v>
      </c>
      <c r="F6" s="434" t="s">
        <v>345</v>
      </c>
      <c r="G6" s="434" t="s">
        <v>346</v>
      </c>
      <c r="H6" s="434" t="s">
        <v>347</v>
      </c>
    </row>
    <row r="7" spans="2:10" ht="15.75" customHeight="1">
      <c r="B7" s="515">
        <v>43831</v>
      </c>
      <c r="C7" s="514">
        <v>790</v>
      </c>
      <c r="D7" s="514">
        <v>540</v>
      </c>
      <c r="E7" s="514">
        <v>1350</v>
      </c>
      <c r="F7" s="514">
        <v>1099</v>
      </c>
      <c r="G7" s="514">
        <v>1020</v>
      </c>
      <c r="H7" s="514">
        <v>891</v>
      </c>
      <c r="I7" s="564"/>
      <c r="J7" s="564"/>
    </row>
    <row r="8" spans="2:10" ht="15.75" customHeight="1">
      <c r="B8" s="515">
        <v>43862</v>
      </c>
      <c r="C8" s="514">
        <v>829</v>
      </c>
      <c r="D8" s="514">
        <v>540</v>
      </c>
      <c r="E8" s="514">
        <v>1350</v>
      </c>
      <c r="F8" s="514">
        <v>1190</v>
      </c>
      <c r="G8" s="514">
        <v>1027</v>
      </c>
      <c r="H8" s="514">
        <v>886</v>
      </c>
      <c r="I8" s="564"/>
      <c r="J8" s="564"/>
    </row>
    <row r="9" spans="2:10" ht="15.75" customHeight="1">
      <c r="B9" s="515">
        <v>43891</v>
      </c>
      <c r="C9" s="514">
        <v>890</v>
      </c>
      <c r="D9" s="514">
        <v>575</v>
      </c>
      <c r="E9" s="514">
        <v>1450</v>
      </c>
      <c r="F9" s="514">
        <v>1190</v>
      </c>
      <c r="G9" s="514">
        <v>1046</v>
      </c>
      <c r="H9" s="514">
        <v>912</v>
      </c>
      <c r="I9" s="564"/>
      <c r="J9" s="564"/>
    </row>
    <row r="10" spans="2:10" ht="15.75" customHeight="1">
      <c r="B10" s="515">
        <v>43922</v>
      </c>
      <c r="C10" s="514">
        <v>910</v>
      </c>
      <c r="D10" s="514">
        <v>575</v>
      </c>
      <c r="E10" s="514">
        <v>1450</v>
      </c>
      <c r="F10" s="514">
        <v>1229</v>
      </c>
      <c r="G10" s="514">
        <v>1056</v>
      </c>
      <c r="H10" s="514">
        <v>913</v>
      </c>
      <c r="I10" s="564"/>
      <c r="J10" s="564"/>
    </row>
    <row r="11" spans="2:10" ht="15.75" customHeight="1">
      <c r="B11" s="515">
        <v>43952</v>
      </c>
      <c r="C11" s="514">
        <v>910</v>
      </c>
      <c r="D11" s="514">
        <v>790</v>
      </c>
      <c r="E11" s="514">
        <v>1595</v>
      </c>
      <c r="F11" s="514">
        <v>1190</v>
      </c>
      <c r="G11" s="514">
        <v>1091</v>
      </c>
      <c r="H11" s="514">
        <v>927</v>
      </c>
      <c r="I11" s="564"/>
      <c r="J11" s="564"/>
    </row>
    <row r="12" spans="2:10" ht="15.75" customHeight="1">
      <c r="B12" s="515">
        <v>43983</v>
      </c>
      <c r="C12" s="514">
        <v>910</v>
      </c>
      <c r="D12" s="514">
        <v>799</v>
      </c>
      <c r="E12" s="514">
        <v>1595</v>
      </c>
      <c r="F12" s="514">
        <v>1190</v>
      </c>
      <c r="G12" s="514">
        <v>1072</v>
      </c>
      <c r="H12" s="514">
        <v>914</v>
      </c>
      <c r="I12" s="564"/>
      <c r="J12" s="564"/>
    </row>
    <row r="13" spans="2:10" ht="15.75" customHeight="1">
      <c r="B13" s="515">
        <v>44013</v>
      </c>
      <c r="C13" s="514">
        <v>910</v>
      </c>
      <c r="D13" s="514">
        <v>799</v>
      </c>
      <c r="E13" s="514">
        <v>1595</v>
      </c>
      <c r="F13" s="514">
        <v>1190</v>
      </c>
      <c r="G13" s="514">
        <v>1050</v>
      </c>
      <c r="H13" s="514">
        <v>906</v>
      </c>
      <c r="I13" s="564"/>
      <c r="J13" s="564"/>
    </row>
    <row r="14" spans="2:10" ht="15.75" customHeight="1">
      <c r="B14" s="515">
        <v>44044</v>
      </c>
      <c r="C14" s="514">
        <v>910</v>
      </c>
      <c r="D14" s="514">
        <v>799</v>
      </c>
      <c r="E14" s="514">
        <v>1169</v>
      </c>
      <c r="F14" s="514">
        <v>1079</v>
      </c>
      <c r="G14" s="514">
        <v>1041</v>
      </c>
      <c r="H14" s="514">
        <v>895</v>
      </c>
      <c r="I14" s="564"/>
      <c r="J14" s="564"/>
    </row>
    <row r="15" spans="2:10" ht="15.75" customHeight="1">
      <c r="B15" s="515">
        <v>44075</v>
      </c>
      <c r="C15" s="514">
        <v>910</v>
      </c>
      <c r="D15" s="514">
        <v>699</v>
      </c>
      <c r="E15" s="514">
        <v>1249</v>
      </c>
      <c r="F15" s="514">
        <v>1079</v>
      </c>
      <c r="G15" s="514">
        <v>1051</v>
      </c>
      <c r="H15" s="514">
        <v>901</v>
      </c>
      <c r="I15" s="564"/>
      <c r="J15" s="564"/>
    </row>
    <row r="16" spans="2:10" ht="15.75" customHeight="1">
      <c r="B16" s="515">
        <v>44105</v>
      </c>
      <c r="C16" s="514">
        <v>850</v>
      </c>
      <c r="D16" s="514">
        <v>560</v>
      </c>
      <c r="E16" s="514">
        <v>1249</v>
      </c>
      <c r="F16" s="514">
        <v>1150</v>
      </c>
      <c r="G16" s="514">
        <v>1158</v>
      </c>
      <c r="H16" s="514">
        <v>910</v>
      </c>
      <c r="I16" s="564"/>
      <c r="J16" s="564"/>
    </row>
    <row r="17" spans="2:10" ht="15.75" customHeight="1">
      <c r="B17" s="515">
        <v>44136</v>
      </c>
      <c r="C17" s="514">
        <v>910</v>
      </c>
      <c r="D17" s="514">
        <v>779</v>
      </c>
      <c r="E17" s="514">
        <v>1339</v>
      </c>
      <c r="F17" s="514">
        <v>1150</v>
      </c>
      <c r="G17" s="514">
        <v>1069</v>
      </c>
      <c r="H17" s="514">
        <v>898</v>
      </c>
      <c r="I17" s="564"/>
      <c r="J17" s="564"/>
    </row>
    <row r="18" spans="2:10" ht="15.75" customHeight="1">
      <c r="B18" s="515">
        <v>44166</v>
      </c>
      <c r="C18" s="514">
        <v>910</v>
      </c>
      <c r="D18" s="514">
        <v>699</v>
      </c>
      <c r="E18" s="514">
        <v>1399</v>
      </c>
      <c r="F18" s="514">
        <v>1060</v>
      </c>
      <c r="G18" s="514">
        <v>1063</v>
      </c>
      <c r="H18" s="514">
        <v>896</v>
      </c>
      <c r="I18" s="564"/>
      <c r="J18" s="564"/>
    </row>
    <row r="19" spans="2:10" ht="15.75" customHeight="1">
      <c r="B19" s="515">
        <v>44197</v>
      </c>
      <c r="C19" s="514">
        <v>910</v>
      </c>
      <c r="D19" s="514">
        <v>699</v>
      </c>
      <c r="E19" s="514">
        <v>1139</v>
      </c>
      <c r="F19" s="514">
        <v>1090</v>
      </c>
      <c r="G19" s="514">
        <v>1062</v>
      </c>
      <c r="H19" s="514">
        <v>901</v>
      </c>
      <c r="I19" s="564"/>
      <c r="J19" s="564"/>
    </row>
    <row r="20" spans="2:10" ht="15.75" customHeight="1">
      <c r="B20" s="515">
        <v>44228</v>
      </c>
      <c r="C20" s="514">
        <v>989</v>
      </c>
      <c r="D20" s="514">
        <v>799</v>
      </c>
      <c r="E20" s="514">
        <v>1399</v>
      </c>
      <c r="F20" s="514">
        <v>1039</v>
      </c>
      <c r="G20" s="514">
        <v>1072</v>
      </c>
      <c r="H20" s="514">
        <v>900</v>
      </c>
      <c r="I20" s="564"/>
      <c r="J20" s="564"/>
    </row>
    <row r="21" spans="2:10" ht="15.75" customHeight="1">
      <c r="B21" s="1370" t="s">
        <v>355</v>
      </c>
      <c r="C21" s="1370"/>
      <c r="D21" s="1370"/>
      <c r="E21" s="1370"/>
      <c r="F21" s="1370"/>
      <c r="G21" s="1370"/>
      <c r="H21" s="1370"/>
    </row>
    <row r="23" spans="2:10">
      <c r="C23" s="18"/>
      <c r="D23" s="18"/>
      <c r="E23" s="18"/>
      <c r="F23" s="18"/>
      <c r="G23" s="18"/>
      <c r="H23" s="18"/>
    </row>
  </sheetData>
  <mergeCells count="5">
    <mergeCell ref="B21:H21"/>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
  <sheetViews>
    <sheetView zoomScaleNormal="100" workbookViewId="0">
      <selection activeCell="G7" sqref="G7"/>
    </sheetView>
  </sheetViews>
  <sheetFormatPr baseColWidth="10" defaultColWidth="10.90625" defaultRowHeight="18"/>
  <cols>
    <col min="1" max="1" width="5.81640625" style="516" customWidth="1"/>
    <col min="2" max="2" width="12.453125" style="516" customWidth="1"/>
    <col min="3" max="16384" width="10.90625" style="516"/>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5" tint="0.79998168889431442"/>
    <pageSetUpPr fitToPage="1"/>
  </sheetPr>
  <dimension ref="A1:S39"/>
  <sheetViews>
    <sheetView workbookViewId="0">
      <selection activeCell="I28" sqref="I28"/>
    </sheetView>
  </sheetViews>
  <sheetFormatPr baseColWidth="10" defaultRowHeight="14.25"/>
  <cols>
    <col min="1" max="7" width="12.90625" style="988" customWidth="1"/>
    <col min="8" max="8" width="12.90625" style="943" customWidth="1"/>
    <col min="9" max="9" width="11" style="983"/>
    <col min="10" max="10" width="11" style="946"/>
    <col min="11" max="11" width="9.81640625" style="946" bestFit="1" customWidth="1"/>
    <col min="12" max="12" width="11" style="946"/>
    <col min="13" max="19" width="11" style="943"/>
    <col min="20" max="266" width="11" style="586"/>
    <col min="267" max="267" width="8.6328125" style="586" bestFit="1" customWidth="1"/>
    <col min="268" max="522" width="11" style="586"/>
    <col min="523" max="523" width="8.6328125" style="586" bestFit="1" customWidth="1"/>
    <col min="524" max="778" width="11" style="586"/>
    <col min="779" max="779" width="8.6328125" style="586" bestFit="1" customWidth="1"/>
    <col min="780" max="1034" width="11" style="586"/>
    <col min="1035" max="1035" width="8.6328125" style="586" bestFit="1" customWidth="1"/>
    <col min="1036" max="1290" width="11" style="586"/>
    <col min="1291" max="1291" width="8.6328125" style="586" bestFit="1" customWidth="1"/>
    <col min="1292" max="1546" width="11" style="586"/>
    <col min="1547" max="1547" width="8.6328125" style="586" bestFit="1" customWidth="1"/>
    <col min="1548" max="1802" width="11" style="586"/>
    <col min="1803" max="1803" width="8.6328125" style="586" bestFit="1" customWidth="1"/>
    <col min="1804" max="2058" width="11" style="586"/>
    <col min="2059" max="2059" width="8.6328125" style="586" bestFit="1" customWidth="1"/>
    <col min="2060" max="2314" width="11" style="586"/>
    <col min="2315" max="2315" width="8.6328125" style="586" bestFit="1" customWidth="1"/>
    <col min="2316" max="2570" width="11" style="586"/>
    <col min="2571" max="2571" width="8.6328125" style="586" bestFit="1" customWidth="1"/>
    <col min="2572" max="2826" width="11" style="586"/>
    <col min="2827" max="2827" width="8.6328125" style="586" bestFit="1" customWidth="1"/>
    <col min="2828" max="3082" width="11" style="586"/>
    <col min="3083" max="3083" width="8.6328125" style="586" bestFit="1" customWidth="1"/>
    <col min="3084" max="3338" width="11" style="586"/>
    <col min="3339" max="3339" width="8.6328125" style="586" bestFit="1" customWidth="1"/>
    <col min="3340" max="3594" width="11" style="586"/>
    <col min="3595" max="3595" width="8.6328125" style="586" bestFit="1" customWidth="1"/>
    <col min="3596" max="3850" width="11" style="586"/>
    <col min="3851" max="3851" width="8.6328125" style="586" bestFit="1" customWidth="1"/>
    <col min="3852" max="4106" width="11" style="586"/>
    <col min="4107" max="4107" width="8.6328125" style="586" bestFit="1" customWidth="1"/>
    <col min="4108" max="4362" width="11" style="586"/>
    <col min="4363" max="4363" width="8.6328125" style="586" bestFit="1" customWidth="1"/>
    <col min="4364" max="4618" width="11" style="586"/>
    <col min="4619" max="4619" width="8.6328125" style="586" bestFit="1" customWidth="1"/>
    <col min="4620" max="4874" width="11" style="586"/>
    <col min="4875" max="4875" width="8.6328125" style="586" bestFit="1" customWidth="1"/>
    <col min="4876" max="5130" width="11" style="586"/>
    <col min="5131" max="5131" width="8.6328125" style="586" bestFit="1" customWidth="1"/>
    <col min="5132" max="5386" width="11" style="586"/>
    <col min="5387" max="5387" width="8.6328125" style="586" bestFit="1" customWidth="1"/>
    <col min="5388" max="5642" width="11" style="586"/>
    <col min="5643" max="5643" width="8.6328125" style="586" bestFit="1" customWidth="1"/>
    <col min="5644" max="5898" width="11" style="586"/>
    <col min="5899" max="5899" width="8.6328125" style="586" bestFit="1" customWidth="1"/>
    <col min="5900" max="6154" width="11" style="586"/>
    <col min="6155" max="6155" width="8.6328125" style="586" bestFit="1" customWidth="1"/>
    <col min="6156" max="6410" width="11" style="586"/>
    <col min="6411" max="6411" width="8.6328125" style="586" bestFit="1" customWidth="1"/>
    <col min="6412" max="6666" width="11" style="586"/>
    <col min="6667" max="6667" width="8.6328125" style="586" bestFit="1" customWidth="1"/>
    <col min="6668" max="6922" width="11" style="586"/>
    <col min="6923" max="6923" width="8.6328125" style="586" bestFit="1" customWidth="1"/>
    <col min="6924" max="7178" width="11" style="586"/>
    <col min="7179" max="7179" width="8.6328125" style="586" bestFit="1" customWidth="1"/>
    <col min="7180" max="7434" width="11" style="586"/>
    <col min="7435" max="7435" width="8.6328125" style="586" bestFit="1" customWidth="1"/>
    <col min="7436" max="7690" width="11" style="586"/>
    <col min="7691" max="7691" width="8.6328125" style="586" bestFit="1" customWidth="1"/>
    <col min="7692" max="7946" width="11" style="586"/>
    <col min="7947" max="7947" width="8.6328125" style="586" bestFit="1" customWidth="1"/>
    <col min="7948" max="8202" width="11" style="586"/>
    <col min="8203" max="8203" width="8.6328125" style="586" bestFit="1" customWidth="1"/>
    <col min="8204" max="8458" width="11" style="586"/>
    <col min="8459" max="8459" width="8.6328125" style="586" bestFit="1" customWidth="1"/>
    <col min="8460" max="8714" width="11" style="586"/>
    <col min="8715" max="8715" width="8.6328125" style="586" bestFit="1" customWidth="1"/>
    <col min="8716" max="8970" width="11" style="586"/>
    <col min="8971" max="8971" width="8.6328125" style="586" bestFit="1" customWidth="1"/>
    <col min="8972" max="9226" width="11" style="586"/>
    <col min="9227" max="9227" width="8.6328125" style="586" bestFit="1" customWidth="1"/>
    <col min="9228" max="9482" width="11" style="586"/>
    <col min="9483" max="9483" width="8.6328125" style="586" bestFit="1" customWidth="1"/>
    <col min="9484" max="9738" width="11" style="586"/>
    <col min="9739" max="9739" width="8.6328125" style="586" bestFit="1" customWidth="1"/>
    <col min="9740" max="9994" width="11" style="586"/>
    <col min="9995" max="9995" width="8.6328125" style="586" bestFit="1" customWidth="1"/>
    <col min="9996" max="10250" width="11" style="586"/>
    <col min="10251" max="10251" width="8.6328125" style="586" bestFit="1" customWidth="1"/>
    <col min="10252" max="10506" width="11" style="586"/>
    <col min="10507" max="10507" width="8.6328125" style="586" bestFit="1" customWidth="1"/>
    <col min="10508" max="10762" width="11" style="586"/>
    <col min="10763" max="10763" width="8.6328125" style="586" bestFit="1" customWidth="1"/>
    <col min="10764" max="11018" width="11" style="586"/>
    <col min="11019" max="11019" width="8.6328125" style="586" bestFit="1" customWidth="1"/>
    <col min="11020" max="11274" width="11" style="586"/>
    <col min="11275" max="11275" width="8.6328125" style="586" bestFit="1" customWidth="1"/>
    <col min="11276" max="11530" width="11" style="586"/>
    <col min="11531" max="11531" width="8.6328125" style="586" bestFit="1" customWidth="1"/>
    <col min="11532" max="11786" width="11" style="586"/>
    <col min="11787" max="11787" width="8.6328125" style="586" bestFit="1" customWidth="1"/>
    <col min="11788" max="12042" width="11" style="586"/>
    <col min="12043" max="12043" width="8.6328125" style="586" bestFit="1" customWidth="1"/>
    <col min="12044" max="12298" width="11" style="586"/>
    <col min="12299" max="12299" width="8.6328125" style="586" bestFit="1" customWidth="1"/>
    <col min="12300" max="12554" width="11" style="586"/>
    <col min="12555" max="12555" width="8.6328125" style="586" bestFit="1" customWidth="1"/>
    <col min="12556" max="12810" width="11" style="586"/>
    <col min="12811" max="12811" width="8.6328125" style="586" bestFit="1" customWidth="1"/>
    <col min="12812" max="13066" width="11" style="586"/>
    <col min="13067" max="13067" width="8.6328125" style="586" bestFit="1" customWidth="1"/>
    <col min="13068" max="13322" width="11" style="586"/>
    <col min="13323" max="13323" width="8.6328125" style="586" bestFit="1" customWidth="1"/>
    <col min="13324" max="13578" width="11" style="586"/>
    <col min="13579" max="13579" width="8.6328125" style="586" bestFit="1" customWidth="1"/>
    <col min="13580" max="13834" width="11" style="586"/>
    <col min="13835" max="13835" width="8.6328125" style="586" bestFit="1" customWidth="1"/>
    <col min="13836" max="14090" width="11" style="586"/>
    <col min="14091" max="14091" width="8.6328125" style="586" bestFit="1" customWidth="1"/>
    <col min="14092" max="14346" width="11" style="586"/>
    <col min="14347" max="14347" width="8.6328125" style="586" bestFit="1" customWidth="1"/>
    <col min="14348" max="14602" width="11" style="586"/>
    <col min="14603" max="14603" width="8.6328125" style="586" bestFit="1" customWidth="1"/>
    <col min="14604" max="14858" width="11" style="586"/>
    <col min="14859" max="14859" width="8.6328125" style="586" bestFit="1" customWidth="1"/>
    <col min="14860" max="15114" width="11" style="586"/>
    <col min="15115" max="15115" width="8.6328125" style="586" bestFit="1" customWidth="1"/>
    <col min="15116" max="15370" width="11" style="586"/>
    <col min="15371" max="15371" width="8.6328125" style="586" bestFit="1" customWidth="1"/>
    <col min="15372" max="15626" width="11" style="586"/>
    <col min="15627" max="15627" width="8.6328125" style="586" bestFit="1" customWidth="1"/>
    <col min="15628" max="15882" width="11" style="586"/>
    <col min="15883" max="15883" width="8.6328125" style="586" bestFit="1" customWidth="1"/>
    <col min="15884" max="16138" width="11" style="586"/>
    <col min="16139" max="16139" width="8.6328125" style="586" bestFit="1" customWidth="1"/>
    <col min="16140" max="16384" width="11" style="586"/>
  </cols>
  <sheetData>
    <row r="1" spans="1:18" ht="60">
      <c r="A1" s="984" t="s">
        <v>96</v>
      </c>
      <c r="B1" s="984" t="s">
        <v>160</v>
      </c>
      <c r="C1" s="984" t="s">
        <v>666</v>
      </c>
      <c r="D1" s="984" t="s">
        <v>667</v>
      </c>
      <c r="E1" s="984" t="s">
        <v>668</v>
      </c>
      <c r="F1" s="984" t="s">
        <v>696</v>
      </c>
      <c r="G1" s="984" t="s">
        <v>669</v>
      </c>
      <c r="H1" s="985" t="s">
        <v>670</v>
      </c>
      <c r="I1" s="986" t="s">
        <v>671</v>
      </c>
      <c r="J1" s="941" t="s">
        <v>672</v>
      </c>
      <c r="K1" s="941" t="s">
        <v>673</v>
      </c>
      <c r="L1" s="941" t="s">
        <v>674</v>
      </c>
      <c r="M1" s="942" t="s">
        <v>669</v>
      </c>
      <c r="N1" s="942" t="s">
        <v>670</v>
      </c>
      <c r="O1" s="941" t="s">
        <v>671</v>
      </c>
      <c r="P1" s="941" t="s">
        <v>672</v>
      </c>
      <c r="Q1" s="942" t="s">
        <v>673</v>
      </c>
      <c r="R1" s="942" t="s">
        <v>674</v>
      </c>
    </row>
    <row r="2" spans="1:18">
      <c r="A2" s="987">
        <v>43101</v>
      </c>
      <c r="B2" s="988">
        <v>2018</v>
      </c>
      <c r="C2" s="989">
        <v>526.76401313995609</v>
      </c>
      <c r="D2" s="989">
        <v>605.53</v>
      </c>
      <c r="E2" s="989">
        <v>318971.41287663759</v>
      </c>
      <c r="F2" s="989">
        <v>17101</v>
      </c>
      <c r="G2" s="989">
        <v>1075</v>
      </c>
      <c r="H2" s="944">
        <v>848</v>
      </c>
      <c r="I2" s="990">
        <v>100</v>
      </c>
      <c r="J2" s="990">
        <v>100</v>
      </c>
      <c r="K2" s="990">
        <v>100</v>
      </c>
      <c r="L2" s="991">
        <v>100</v>
      </c>
      <c r="M2" s="944">
        <v>1075</v>
      </c>
      <c r="N2" s="944">
        <v>848</v>
      </c>
      <c r="O2" s="945">
        <v>100</v>
      </c>
      <c r="P2" s="945">
        <v>100</v>
      </c>
      <c r="Q2" s="945">
        <v>100</v>
      </c>
      <c r="R2" s="945">
        <v>100</v>
      </c>
    </row>
    <row r="3" spans="1:18">
      <c r="A3" s="987">
        <v>43132</v>
      </c>
      <c r="B3" s="988">
        <v>2018</v>
      </c>
      <c r="C3" s="989">
        <v>495.56544584585271</v>
      </c>
      <c r="D3" s="989">
        <v>596.84</v>
      </c>
      <c r="E3" s="989">
        <v>295773.28069863876</v>
      </c>
      <c r="F3" s="989">
        <v>16788.949628236933</v>
      </c>
      <c r="G3" s="989">
        <v>1058</v>
      </c>
      <c r="H3" s="944">
        <v>841</v>
      </c>
      <c r="I3" s="990">
        <f>((E3-E2)/E2)+I2</f>
        <v>99.927272065014265</v>
      </c>
      <c r="J3" s="990">
        <f t="shared" ref="J3:L3" si="0">((F3-F2)/F2)+J2</f>
        <v>99.98175250735261</v>
      </c>
      <c r="K3" s="990">
        <f t="shared" si="0"/>
        <v>99.984186046511624</v>
      </c>
      <c r="L3" s="990">
        <f t="shared" si="0"/>
        <v>99.991745283018872</v>
      </c>
      <c r="M3" s="944">
        <v>1058</v>
      </c>
      <c r="N3" s="944">
        <v>841</v>
      </c>
      <c r="O3" s="945">
        <f t="shared" ref="O3:O13" si="1">(K3-K2)/K2+O2</f>
        <v>99.999841860465111</v>
      </c>
      <c r="P3" s="945">
        <f t="shared" ref="P3:P13" si="2">(L3-L2)/L2+P2</f>
        <v>99.999917452830189</v>
      </c>
      <c r="Q3" s="945">
        <f t="shared" ref="Q3:Q13" si="3">(M3-M2)/M2+Q2</f>
        <v>99.984186046511624</v>
      </c>
      <c r="R3" s="945">
        <f t="shared" ref="R3:R13" si="4">(N3-N2)/N2+R2</f>
        <v>99.991745283018872</v>
      </c>
    </row>
    <row r="4" spans="1:18">
      <c r="A4" s="987">
        <v>43160</v>
      </c>
      <c r="B4" s="988">
        <v>2018</v>
      </c>
      <c r="C4" s="989">
        <v>514.13077812871245</v>
      </c>
      <c r="D4" s="989">
        <v>603.45000000000005</v>
      </c>
      <c r="E4" s="989">
        <v>310252.21806177153</v>
      </c>
      <c r="F4" s="989">
        <v>16809.814461659975</v>
      </c>
      <c r="G4" s="989">
        <v>1055</v>
      </c>
      <c r="H4" s="944">
        <v>869</v>
      </c>
      <c r="I4" s="990">
        <f t="shared" ref="I4:I38" si="5">((E4-E3)/E3)+I3</f>
        <v>99.976224889045341</v>
      </c>
      <c r="J4" s="990">
        <f t="shared" ref="J4:J37" si="6">((F4-F3)/F3)+J3</f>
        <v>99.982995279168904</v>
      </c>
      <c r="K4" s="990">
        <f t="shared" ref="K4:K38" si="7">((G4-G3)/G3)+K3</f>
        <v>99.981350507759259</v>
      </c>
      <c r="L4" s="990">
        <f t="shared" ref="L4:L38" si="8">((H4-H3)/H3)+L3</f>
        <v>100.02503898099746</v>
      </c>
      <c r="M4" s="944">
        <v>1055</v>
      </c>
      <c r="N4" s="944">
        <v>869</v>
      </c>
      <c r="O4" s="945">
        <f t="shared" si="1"/>
        <v>99.999813500592765</v>
      </c>
      <c r="P4" s="945">
        <f t="shared" si="2"/>
        <v>100.00025041729525</v>
      </c>
      <c r="Q4" s="945">
        <f t="shared" si="3"/>
        <v>99.981350507759259</v>
      </c>
      <c r="R4" s="945">
        <f t="shared" si="4"/>
        <v>100.02503898099746</v>
      </c>
    </row>
    <row r="5" spans="1:18">
      <c r="A5" s="987">
        <v>43191</v>
      </c>
      <c r="B5" s="988">
        <v>2018</v>
      </c>
      <c r="C5" s="989">
        <v>489.637153560461</v>
      </c>
      <c r="D5" s="989">
        <v>600.54999999999995</v>
      </c>
      <c r="E5" s="989">
        <v>294051.59257073485</v>
      </c>
      <c r="F5" s="989">
        <v>16425.033333333333</v>
      </c>
      <c r="G5" s="989">
        <v>1039</v>
      </c>
      <c r="H5" s="944">
        <v>857</v>
      </c>
      <c r="I5" s="990">
        <f t="shared" si="5"/>
        <v>99.924007291400926</v>
      </c>
      <c r="J5" s="990">
        <f t="shared" si="6"/>
        <v>99.960105012937575</v>
      </c>
      <c r="K5" s="990">
        <f t="shared" si="7"/>
        <v>99.966184630982013</v>
      </c>
      <c r="L5" s="990">
        <f t="shared" si="8"/>
        <v>100.01123000516317</v>
      </c>
      <c r="M5" s="944">
        <v>1039</v>
      </c>
      <c r="N5" s="944">
        <v>857</v>
      </c>
      <c r="O5" s="945">
        <f t="shared" si="1"/>
        <v>99.999661813536122</v>
      </c>
      <c r="P5" s="945">
        <f t="shared" si="2"/>
        <v>100.00011236210452</v>
      </c>
      <c r="Q5" s="945">
        <f t="shared" si="3"/>
        <v>99.966184630982013</v>
      </c>
      <c r="R5" s="945">
        <f t="shared" si="4"/>
        <v>100.01123000516317</v>
      </c>
    </row>
    <row r="6" spans="1:18">
      <c r="A6" s="987">
        <v>43221</v>
      </c>
      <c r="B6" s="988">
        <v>2018</v>
      </c>
      <c r="C6" s="989">
        <v>472.71516704684882</v>
      </c>
      <c r="D6" s="989">
        <v>626.12</v>
      </c>
      <c r="E6" s="989">
        <v>295976.42039137299</v>
      </c>
      <c r="F6" s="989">
        <v>16962.290322580644</v>
      </c>
      <c r="G6" s="989">
        <v>1043</v>
      </c>
      <c r="H6" s="944">
        <v>855</v>
      </c>
      <c r="I6" s="990">
        <f t="shared" si="5"/>
        <v>99.930553176100304</v>
      </c>
      <c r="J6" s="990">
        <f t="shared" si="6"/>
        <v>99.992814656707793</v>
      </c>
      <c r="K6" s="990">
        <f t="shared" si="7"/>
        <v>99.970034486612434</v>
      </c>
      <c r="L6" s="990">
        <f t="shared" si="8"/>
        <v>100.00889628287612</v>
      </c>
      <c r="M6" s="944">
        <v>1043</v>
      </c>
      <c r="N6" s="944">
        <v>855</v>
      </c>
      <c r="O6" s="945">
        <f t="shared" si="1"/>
        <v>99.999700325115256</v>
      </c>
      <c r="P6" s="945">
        <f t="shared" si="2"/>
        <v>100.00008902750213</v>
      </c>
      <c r="Q6" s="945">
        <f t="shared" si="3"/>
        <v>99.970034486612434</v>
      </c>
      <c r="R6" s="945">
        <f t="shared" si="4"/>
        <v>100.00889628287612</v>
      </c>
    </row>
    <row r="7" spans="1:18">
      <c r="A7" s="987">
        <v>43252</v>
      </c>
      <c r="B7" s="988">
        <v>2018</v>
      </c>
      <c r="C7" s="989">
        <v>486.61890554471432</v>
      </c>
      <c r="D7" s="989">
        <v>636</v>
      </c>
      <c r="E7" s="989">
        <v>309489.62392643833</v>
      </c>
      <c r="F7" s="989">
        <v>17243.266666666666</v>
      </c>
      <c r="G7" s="989">
        <v>1031</v>
      </c>
      <c r="H7" s="944">
        <v>858</v>
      </c>
      <c r="I7" s="990">
        <f t="shared" si="5"/>
        <v>99.976209527769115</v>
      </c>
      <c r="J7" s="990">
        <f t="shared" si="6"/>
        <v>100.00937942117902</v>
      </c>
      <c r="K7" s="990">
        <f t="shared" si="7"/>
        <v>99.958529213362198</v>
      </c>
      <c r="L7" s="990">
        <f t="shared" si="8"/>
        <v>100.01240505480595</v>
      </c>
      <c r="M7" s="944">
        <v>1031</v>
      </c>
      <c r="N7" s="944">
        <v>858</v>
      </c>
      <c r="O7" s="945">
        <f t="shared" si="1"/>
        <v>99.999585237896284</v>
      </c>
      <c r="P7" s="945">
        <f t="shared" si="2"/>
        <v>100.0001241121002</v>
      </c>
      <c r="Q7" s="945">
        <f t="shared" si="3"/>
        <v>99.958529213362198</v>
      </c>
      <c r="R7" s="945">
        <f t="shared" si="4"/>
        <v>100.01240505480595</v>
      </c>
    </row>
    <row r="8" spans="1:18">
      <c r="A8" s="987">
        <v>43282</v>
      </c>
      <c r="B8" s="988">
        <v>2018</v>
      </c>
      <c r="C8" s="989">
        <v>484.64459706534194</v>
      </c>
      <c r="D8" s="989">
        <v>652.41999999999996</v>
      </c>
      <c r="E8" s="989">
        <v>316191.82801737037</v>
      </c>
      <c r="F8" s="989">
        <v>17764.774193548386</v>
      </c>
      <c r="G8" s="989">
        <v>1056</v>
      </c>
      <c r="H8" s="944">
        <v>849</v>
      </c>
      <c r="I8" s="990">
        <f t="shared" si="5"/>
        <v>99.997865194301326</v>
      </c>
      <c r="J8" s="990">
        <f t="shared" si="6"/>
        <v>100.03962354701451</v>
      </c>
      <c r="K8" s="990">
        <f t="shared" si="7"/>
        <v>99.982777515981013</v>
      </c>
      <c r="L8" s="990">
        <f t="shared" si="8"/>
        <v>100.00191554431645</v>
      </c>
      <c r="M8" s="944">
        <v>1056</v>
      </c>
      <c r="N8" s="944">
        <v>849</v>
      </c>
      <c r="O8" s="945">
        <f t="shared" si="1"/>
        <v>99.999827821523809</v>
      </c>
      <c r="P8" s="945">
        <f t="shared" si="2"/>
        <v>100.00001923000598</v>
      </c>
      <c r="Q8" s="945">
        <f t="shared" si="3"/>
        <v>99.982777515981013</v>
      </c>
      <c r="R8" s="945">
        <f t="shared" si="4"/>
        <v>100.00191554431645</v>
      </c>
    </row>
    <row r="9" spans="1:18">
      <c r="A9" s="987">
        <v>43313</v>
      </c>
      <c r="B9" s="988">
        <v>2018</v>
      </c>
      <c r="C9" s="989">
        <v>482.57519317917985</v>
      </c>
      <c r="D9" s="989">
        <v>656.25</v>
      </c>
      <c r="E9" s="989">
        <v>316689.97052383679</v>
      </c>
      <c r="F9" s="989">
        <v>17689.774193548386</v>
      </c>
      <c r="G9" s="989">
        <v>1059</v>
      </c>
      <c r="H9" s="944">
        <v>849</v>
      </c>
      <c r="I9" s="990">
        <f t="shared" si="5"/>
        <v>99.999440638263906</v>
      </c>
      <c r="J9" s="990">
        <f t="shared" si="6"/>
        <v>100.03540170894425</v>
      </c>
      <c r="K9" s="990">
        <f t="shared" si="7"/>
        <v>99.98561842507192</v>
      </c>
      <c r="L9" s="990">
        <f t="shared" si="8"/>
        <v>100.00191554431645</v>
      </c>
      <c r="M9" s="944">
        <v>1059</v>
      </c>
      <c r="N9" s="944">
        <v>849</v>
      </c>
      <c r="O9" s="945">
        <f t="shared" si="1"/>
        <v>99.999856235508318</v>
      </c>
      <c r="P9" s="945">
        <f t="shared" si="2"/>
        <v>100.00001923000598</v>
      </c>
      <c r="Q9" s="945">
        <f t="shared" si="3"/>
        <v>99.98561842507192</v>
      </c>
      <c r="R9" s="945">
        <f t="shared" si="4"/>
        <v>100.00191554431645</v>
      </c>
    </row>
    <row r="10" spans="1:18">
      <c r="A10" s="987">
        <v>43344</v>
      </c>
      <c r="B10" s="988">
        <v>2018</v>
      </c>
      <c r="C10" s="989">
        <v>548.20325955495946</v>
      </c>
      <c r="D10" s="989">
        <v>680.91</v>
      </c>
      <c r="E10" s="989">
        <v>373277.08146356745</v>
      </c>
      <c r="F10" s="989">
        <v>18374</v>
      </c>
      <c r="G10" s="989">
        <v>1022</v>
      </c>
      <c r="H10" s="944">
        <v>855</v>
      </c>
      <c r="I10" s="990">
        <f t="shared" si="5"/>
        <v>100.17812362859078</v>
      </c>
      <c r="J10" s="990">
        <f t="shared" si="6"/>
        <v>100.07408088025335</v>
      </c>
      <c r="K10" s="990">
        <f t="shared" si="7"/>
        <v>99.950679803731035</v>
      </c>
      <c r="L10" s="990">
        <f t="shared" si="8"/>
        <v>100.00898268212563</v>
      </c>
      <c r="M10" s="944">
        <v>1022</v>
      </c>
      <c r="N10" s="944">
        <v>855</v>
      </c>
      <c r="O10" s="945">
        <f t="shared" si="1"/>
        <v>99.999506799040446</v>
      </c>
      <c r="P10" s="945">
        <f t="shared" si="2"/>
        <v>100.00008990003035</v>
      </c>
      <c r="Q10" s="945">
        <f t="shared" si="3"/>
        <v>99.950679803731035</v>
      </c>
      <c r="R10" s="945">
        <f t="shared" si="4"/>
        <v>100.00898268212563</v>
      </c>
    </row>
    <row r="11" spans="1:18">
      <c r="A11" s="987">
        <v>43374</v>
      </c>
      <c r="B11" s="988">
        <v>2018</v>
      </c>
      <c r="C11" s="989">
        <v>489.31342370973459</v>
      </c>
      <c r="D11" s="989">
        <v>676.84</v>
      </c>
      <c r="E11" s="989">
        <v>331186.8977036968</v>
      </c>
      <c r="F11" s="989">
        <v>18376.483870967742</v>
      </c>
      <c r="G11" s="989">
        <v>1034</v>
      </c>
      <c r="H11" s="944">
        <v>838</v>
      </c>
      <c r="I11" s="990">
        <f t="shared" si="5"/>
        <v>100.06536507509256</v>
      </c>
      <c r="J11" s="990">
        <f t="shared" si="6"/>
        <v>100.07421606426161</v>
      </c>
      <c r="K11" s="990">
        <f t="shared" si="7"/>
        <v>99.962421486705594</v>
      </c>
      <c r="L11" s="990">
        <f t="shared" si="8"/>
        <v>99.989099641189966</v>
      </c>
      <c r="M11" s="944">
        <v>1034</v>
      </c>
      <c r="N11" s="944">
        <v>838</v>
      </c>
      <c r="O11" s="945">
        <f t="shared" si="1"/>
        <v>99.999624273808976</v>
      </c>
      <c r="P11" s="945">
        <f t="shared" si="2"/>
        <v>99.999891087479682</v>
      </c>
      <c r="Q11" s="945">
        <f t="shared" si="3"/>
        <v>99.962421486705594</v>
      </c>
      <c r="R11" s="945">
        <f t="shared" si="4"/>
        <v>99.989099641189966</v>
      </c>
    </row>
    <row r="12" spans="1:18">
      <c r="A12" s="987">
        <v>43405</v>
      </c>
      <c r="B12" s="988">
        <v>2018</v>
      </c>
      <c r="C12" s="989">
        <v>483.01113818721484</v>
      </c>
      <c r="D12" s="989">
        <v>677.61</v>
      </c>
      <c r="E12" s="989">
        <v>327293.17734703864</v>
      </c>
      <c r="F12" s="989">
        <v>18183.233333333334</v>
      </c>
      <c r="G12" s="989">
        <v>1048</v>
      </c>
      <c r="H12" s="944">
        <v>848</v>
      </c>
      <c r="I12" s="990">
        <f t="shared" si="5"/>
        <v>100.05360820794698</v>
      </c>
      <c r="J12" s="990">
        <f t="shared" si="6"/>
        <v>100.06369987743331</v>
      </c>
      <c r="K12" s="990">
        <f t="shared" si="7"/>
        <v>99.975961138543113</v>
      </c>
      <c r="L12" s="990">
        <f t="shared" si="8"/>
        <v>100.00103281541431</v>
      </c>
      <c r="M12" s="944">
        <v>1048</v>
      </c>
      <c r="N12" s="944">
        <v>848</v>
      </c>
      <c r="O12" s="945">
        <f t="shared" si="1"/>
        <v>99.999759721226482</v>
      </c>
      <c r="P12" s="945">
        <f t="shared" si="2"/>
        <v>100.00001043223094</v>
      </c>
      <c r="Q12" s="945">
        <f t="shared" si="3"/>
        <v>99.975961138543113</v>
      </c>
      <c r="R12" s="945">
        <f t="shared" si="4"/>
        <v>100.00103281541431</v>
      </c>
    </row>
    <row r="13" spans="1:18">
      <c r="A13" s="987">
        <v>43435</v>
      </c>
      <c r="B13" s="988">
        <v>2018</v>
      </c>
      <c r="C13" s="989">
        <v>497.34466978273326</v>
      </c>
      <c r="D13" s="989">
        <v>681.99</v>
      </c>
      <c r="E13" s="989">
        <v>339184.09134512627</v>
      </c>
      <c r="F13" s="989">
        <v>18058.129032258064</v>
      </c>
      <c r="G13" s="989">
        <v>1024</v>
      </c>
      <c r="H13" s="944">
        <v>860</v>
      </c>
      <c r="I13" s="990">
        <f t="shared" si="5"/>
        <v>100.08993928607843</v>
      </c>
      <c r="J13" s="990">
        <f t="shared" si="6"/>
        <v>100.05681967638316</v>
      </c>
      <c r="K13" s="990">
        <f t="shared" si="7"/>
        <v>99.953060375184336</v>
      </c>
      <c r="L13" s="990">
        <f t="shared" si="8"/>
        <v>100.01518375881054</v>
      </c>
      <c r="M13" s="943">
        <v>1024</v>
      </c>
      <c r="N13" s="943">
        <v>860</v>
      </c>
      <c r="O13" s="945">
        <f t="shared" si="1"/>
        <v>99.999530658528826</v>
      </c>
      <c r="P13" s="945">
        <f t="shared" si="2"/>
        <v>100.00015194020338</v>
      </c>
      <c r="Q13" s="945">
        <f t="shared" si="3"/>
        <v>99.953060375184336</v>
      </c>
      <c r="R13" s="945">
        <f t="shared" si="4"/>
        <v>100.01518375881054</v>
      </c>
    </row>
    <row r="14" spans="1:18">
      <c r="A14" s="987">
        <v>43466</v>
      </c>
      <c r="B14" s="988">
        <v>2019</v>
      </c>
      <c r="C14" s="989">
        <v>482.22886004072933</v>
      </c>
      <c r="D14" s="989">
        <v>677.06</v>
      </c>
      <c r="E14" s="989">
        <v>326497.87197917618</v>
      </c>
      <c r="F14" s="989">
        <v>17418.774193548386</v>
      </c>
      <c r="G14" s="989">
        <v>1030</v>
      </c>
      <c r="H14" s="944">
        <v>870</v>
      </c>
      <c r="I14" s="990">
        <f t="shared" si="5"/>
        <v>100.05253712103101</v>
      </c>
      <c r="J14" s="990">
        <f t="shared" si="6"/>
        <v>100.02141430091112</v>
      </c>
      <c r="K14" s="990">
        <f t="shared" si="7"/>
        <v>99.958919750184336</v>
      </c>
      <c r="L14" s="990">
        <f t="shared" si="8"/>
        <v>100.02681166578728</v>
      </c>
      <c r="M14" s="943">
        <v>1030</v>
      </c>
      <c r="N14" s="943">
        <v>870</v>
      </c>
      <c r="O14" s="945">
        <f t="shared" ref="O14:O37" si="9">(K14-K13)/K13+O13</f>
        <v>99.99958927979543</v>
      </c>
      <c r="P14" s="945">
        <v>100</v>
      </c>
      <c r="Q14" s="945">
        <v>100</v>
      </c>
      <c r="R14" s="945">
        <v>100</v>
      </c>
    </row>
    <row r="15" spans="1:18">
      <c r="A15" s="987">
        <v>43497</v>
      </c>
      <c r="B15" s="988">
        <v>2019</v>
      </c>
      <c r="C15" s="989">
        <v>477.87947560177287</v>
      </c>
      <c r="D15" s="989">
        <v>656.3</v>
      </c>
      <c r="E15" s="989">
        <v>313632.29983744351</v>
      </c>
      <c r="F15" s="989">
        <v>16800.678571428572</v>
      </c>
      <c r="G15" s="989">
        <v>1039</v>
      </c>
      <c r="H15" s="944">
        <v>852</v>
      </c>
      <c r="I15" s="990">
        <f t="shared" si="5"/>
        <v>100.0131323553468</v>
      </c>
      <c r="J15" s="990">
        <f t="shared" si="6"/>
        <v>99.985929850900348</v>
      </c>
      <c r="K15" s="990">
        <f t="shared" si="7"/>
        <v>99.967657614262009</v>
      </c>
      <c r="L15" s="990">
        <f t="shared" si="8"/>
        <v>100.00612201061486</v>
      </c>
      <c r="M15" s="944">
        <v>1039</v>
      </c>
      <c r="N15" s="944">
        <v>852</v>
      </c>
      <c r="O15" s="945">
        <f t="shared" si="9"/>
        <v>99.99967669434632</v>
      </c>
      <c r="P15" s="945">
        <f t="shared" ref="P15:P37" si="10">(L15-L14)/L14+P14</f>
        <v>99.999793158905817</v>
      </c>
      <c r="Q15" s="945">
        <f t="shared" ref="Q15:Q37" si="11">(M15-M14)/M14+Q14</f>
        <v>100.00873786407767</v>
      </c>
      <c r="R15" s="945">
        <f t="shared" ref="R15:R37" si="12">(N15-N14)/N14+R14</f>
        <v>99.979310344827582</v>
      </c>
    </row>
    <row r="16" spans="1:18">
      <c r="A16" s="987">
        <v>43525</v>
      </c>
      <c r="B16" s="988">
        <v>2019</v>
      </c>
      <c r="C16" s="989">
        <v>467.57669299463851</v>
      </c>
      <c r="D16" s="989">
        <v>667.68</v>
      </c>
      <c r="E16" s="989">
        <v>312191.60637866019</v>
      </c>
      <c r="F16" s="989">
        <v>17042.727272727272</v>
      </c>
      <c r="G16" s="989">
        <v>1029</v>
      </c>
      <c r="H16" s="944">
        <v>860</v>
      </c>
      <c r="I16" s="990">
        <f t="shared" si="5"/>
        <v>100.00853878045183</v>
      </c>
      <c r="J16" s="990">
        <f t="shared" si="6"/>
        <v>100.00033692977335</v>
      </c>
      <c r="K16" s="990">
        <f t="shared" si="7"/>
        <v>99.958032975185972</v>
      </c>
      <c r="L16" s="990">
        <f t="shared" si="8"/>
        <v>100.01551168197636</v>
      </c>
      <c r="M16" s="944">
        <v>1029</v>
      </c>
      <c r="N16" s="944">
        <v>860</v>
      </c>
      <c r="O16" s="945">
        <f t="shared" si="9"/>
        <v>99.999580416817111</v>
      </c>
      <c r="P16" s="945">
        <f t="shared" si="10"/>
        <v>99.999887049871418</v>
      </c>
      <c r="Q16" s="945">
        <f t="shared" si="11"/>
        <v>99.999113225001636</v>
      </c>
      <c r="R16" s="945">
        <f t="shared" si="12"/>
        <v>99.988700016189085</v>
      </c>
    </row>
    <row r="17" spans="1:18">
      <c r="A17" s="987">
        <v>43556</v>
      </c>
      <c r="B17" s="988">
        <v>2019</v>
      </c>
      <c r="C17" s="989">
        <v>468.09882119599968</v>
      </c>
      <c r="D17" s="989">
        <v>667.4</v>
      </c>
      <c r="E17" s="989">
        <v>312409.15326621017</v>
      </c>
      <c r="F17" s="989">
        <v>17138.81818181818</v>
      </c>
      <c r="G17" s="989">
        <v>1000</v>
      </c>
      <c r="H17" s="944">
        <v>852</v>
      </c>
      <c r="I17" s="990">
        <f t="shared" si="5"/>
        <v>100.00923561817298</v>
      </c>
      <c r="J17" s="990">
        <f t="shared" si="6"/>
        <v>100.00597516522436</v>
      </c>
      <c r="K17" s="990">
        <f t="shared" si="7"/>
        <v>99.929850273533887</v>
      </c>
      <c r="L17" s="990">
        <f t="shared" si="8"/>
        <v>100.00620935639496</v>
      </c>
      <c r="M17" s="944">
        <v>1000</v>
      </c>
      <c r="N17" s="944">
        <v>852</v>
      </c>
      <c r="O17" s="945">
        <f t="shared" si="9"/>
        <v>99.999298471476521</v>
      </c>
      <c r="P17" s="945">
        <f t="shared" si="10"/>
        <v>99.999794041042833</v>
      </c>
      <c r="Q17" s="945">
        <f t="shared" si="11"/>
        <v>99.970930523349551</v>
      </c>
      <c r="R17" s="945">
        <f t="shared" si="12"/>
        <v>99.979397690607684</v>
      </c>
    </row>
    <row r="18" spans="1:18">
      <c r="A18" s="987">
        <v>43586</v>
      </c>
      <c r="B18" s="988">
        <v>2019</v>
      </c>
      <c r="C18" s="989">
        <v>473.81868707171242</v>
      </c>
      <c r="D18" s="989">
        <v>693.56</v>
      </c>
      <c r="E18" s="989">
        <v>328621.68860545685</v>
      </c>
      <c r="F18" s="989">
        <v>17727.961538461539</v>
      </c>
      <c r="G18" s="989">
        <v>1003</v>
      </c>
      <c r="H18" s="944">
        <v>852</v>
      </c>
      <c r="I18" s="990">
        <f t="shared" si="5"/>
        <v>100.06113081768856</v>
      </c>
      <c r="J18" s="990">
        <f t="shared" si="6"/>
        <v>100.04034995993852</v>
      </c>
      <c r="K18" s="990">
        <f t="shared" si="7"/>
        <v>99.932850273533887</v>
      </c>
      <c r="L18" s="990">
        <f t="shared" si="8"/>
        <v>100.00620935639496</v>
      </c>
      <c r="M18" s="944">
        <v>1003</v>
      </c>
      <c r="N18" s="944">
        <v>852</v>
      </c>
      <c r="O18" s="945">
        <f t="shared" si="9"/>
        <v>99.999328492536208</v>
      </c>
      <c r="P18" s="945">
        <f t="shared" si="10"/>
        <v>99.999794041042833</v>
      </c>
      <c r="Q18" s="945">
        <f t="shared" si="11"/>
        <v>99.973930523349551</v>
      </c>
      <c r="R18" s="945">
        <f t="shared" si="12"/>
        <v>99.979397690607684</v>
      </c>
    </row>
    <row r="19" spans="1:18">
      <c r="A19" s="987">
        <v>43617</v>
      </c>
      <c r="B19" s="988">
        <v>2019</v>
      </c>
      <c r="C19" s="989">
        <v>475.61044269523131</v>
      </c>
      <c r="D19" s="989">
        <v>692.41</v>
      </c>
      <c r="E19" s="989">
        <v>329317.4266266051</v>
      </c>
      <c r="F19" s="989">
        <v>17624.2</v>
      </c>
      <c r="G19" s="989">
        <v>997</v>
      </c>
      <c r="H19" s="944">
        <v>854</v>
      </c>
      <c r="I19" s="990">
        <f t="shared" si="5"/>
        <v>100.06324795738223</v>
      </c>
      <c r="J19" s="990">
        <f t="shared" si="6"/>
        <v>100.03449697237217</v>
      </c>
      <c r="K19" s="990">
        <f t="shared" si="7"/>
        <v>99.926868219695407</v>
      </c>
      <c r="L19" s="990">
        <f t="shared" si="8"/>
        <v>100.00855677423533</v>
      </c>
      <c r="M19" s="944">
        <v>997</v>
      </c>
      <c r="N19" s="944">
        <v>854</v>
      </c>
      <c r="O19" s="945">
        <f t="shared" si="9"/>
        <v>99.999268631801499</v>
      </c>
      <c r="P19" s="945">
        <f t="shared" si="10"/>
        <v>99.99981751376373</v>
      </c>
      <c r="Q19" s="945">
        <f t="shared" si="11"/>
        <v>99.967948469511072</v>
      </c>
      <c r="R19" s="945">
        <f t="shared" si="12"/>
        <v>99.981745108448052</v>
      </c>
    </row>
    <row r="20" spans="1:18">
      <c r="A20" s="987">
        <v>43647</v>
      </c>
      <c r="B20" s="988">
        <v>2019</v>
      </c>
      <c r="C20" s="989">
        <v>475.55786177351911</v>
      </c>
      <c r="D20" s="989">
        <v>686.06</v>
      </c>
      <c r="E20" s="989">
        <v>326261.22664834047</v>
      </c>
      <c r="F20" s="989">
        <v>17395.354838709678</v>
      </c>
      <c r="G20" s="989">
        <v>1020</v>
      </c>
      <c r="H20" s="944">
        <v>858</v>
      </c>
      <c r="I20" s="990">
        <f t="shared" si="5"/>
        <v>100.053967549693</v>
      </c>
      <c r="J20" s="990">
        <f t="shared" si="6"/>
        <v>100.02151226036877</v>
      </c>
      <c r="K20" s="990">
        <f t="shared" si="7"/>
        <v>99.949937427318275</v>
      </c>
      <c r="L20" s="990">
        <f t="shared" si="8"/>
        <v>100.01324061498474</v>
      </c>
      <c r="M20" s="944">
        <v>1020</v>
      </c>
      <c r="N20" s="944">
        <v>858</v>
      </c>
      <c r="O20" s="945">
        <f t="shared" si="9"/>
        <v>99.999499492710427</v>
      </c>
      <c r="P20" s="945">
        <f t="shared" si="10"/>
        <v>99.999864348163712</v>
      </c>
      <c r="Q20" s="945">
        <f t="shared" si="11"/>
        <v>99.991017677133939</v>
      </c>
      <c r="R20" s="945">
        <f t="shared" si="12"/>
        <v>99.98642894919746</v>
      </c>
    </row>
    <row r="21" spans="1:18">
      <c r="A21" s="987">
        <v>43678</v>
      </c>
      <c r="B21" s="988">
        <v>2019</v>
      </c>
      <c r="C21" s="989">
        <v>457.63729113509004</v>
      </c>
      <c r="D21" s="989">
        <v>713.7</v>
      </c>
      <c r="E21" s="989">
        <v>326615.73468311375</v>
      </c>
      <c r="F21" s="989">
        <v>17811.387096774193</v>
      </c>
      <c r="G21" s="989">
        <v>1019</v>
      </c>
      <c r="H21" s="944">
        <v>850</v>
      </c>
      <c r="I21" s="990">
        <f t="shared" si="5"/>
        <v>100.05505412696856</v>
      </c>
      <c r="J21" s="990">
        <f t="shared" si="6"/>
        <v>100.04542854502763</v>
      </c>
      <c r="K21" s="990">
        <f t="shared" si="7"/>
        <v>99.948957035161413</v>
      </c>
      <c r="L21" s="990">
        <f t="shared" si="8"/>
        <v>100.00391660566073</v>
      </c>
      <c r="M21" s="944">
        <v>1019</v>
      </c>
      <c r="N21" s="944">
        <v>850</v>
      </c>
      <c r="O21" s="945">
        <f t="shared" si="9"/>
        <v>99.999489683878309</v>
      </c>
      <c r="P21" s="945">
        <f t="shared" si="10"/>
        <v>99.999771120414394</v>
      </c>
      <c r="Q21" s="945">
        <f t="shared" si="11"/>
        <v>99.990037284977078</v>
      </c>
      <c r="R21" s="945">
        <f t="shared" si="12"/>
        <v>99.977104939873456</v>
      </c>
    </row>
    <row r="22" spans="1:18">
      <c r="A22" s="987">
        <v>43709</v>
      </c>
      <c r="B22" s="988">
        <v>2019</v>
      </c>
      <c r="C22" s="989">
        <v>450.86018289965739</v>
      </c>
      <c r="D22" s="989">
        <v>718.44</v>
      </c>
      <c r="E22" s="989">
        <v>323915.98980242986</v>
      </c>
      <c r="F22" s="989">
        <v>17833.400000000001</v>
      </c>
      <c r="G22" s="989">
        <v>1036</v>
      </c>
      <c r="H22" s="944">
        <v>860</v>
      </c>
      <c r="I22" s="990">
        <f t="shared" si="5"/>
        <v>100.04678831306555</v>
      </c>
      <c r="J22" s="990">
        <f t="shared" si="6"/>
        <v>100.04666443435541</v>
      </c>
      <c r="K22" s="990">
        <f t="shared" si="7"/>
        <v>99.965640057732557</v>
      </c>
      <c r="L22" s="990">
        <f t="shared" si="8"/>
        <v>100.01568131154309</v>
      </c>
      <c r="M22" s="944">
        <v>1036</v>
      </c>
      <c r="N22" s="944">
        <v>860</v>
      </c>
      <c r="O22" s="945">
        <f t="shared" si="9"/>
        <v>99.999656599302597</v>
      </c>
      <c r="P22" s="945">
        <f t="shared" si="10"/>
        <v>99.999888762865623</v>
      </c>
      <c r="Q22" s="945">
        <f t="shared" si="11"/>
        <v>100.00672030754822</v>
      </c>
      <c r="R22" s="945">
        <f t="shared" si="12"/>
        <v>99.988869645755813</v>
      </c>
    </row>
    <row r="23" spans="1:18">
      <c r="A23" s="987">
        <v>43739</v>
      </c>
      <c r="B23" s="988">
        <v>2019</v>
      </c>
      <c r="C23" s="989">
        <v>475.89310072347382</v>
      </c>
      <c r="D23" s="989">
        <v>721.03</v>
      </c>
      <c r="E23" s="989">
        <v>343133.20241464634</v>
      </c>
      <c r="F23" s="989">
        <v>18352.806451612902</v>
      </c>
      <c r="G23" s="989">
        <v>1016</v>
      </c>
      <c r="H23" s="944">
        <v>844</v>
      </c>
      <c r="I23" s="990">
        <f t="shared" si="5"/>
        <v>100.10611608081156</v>
      </c>
      <c r="J23" s="990">
        <f t="shared" si="6"/>
        <v>100.07578992089263</v>
      </c>
      <c r="K23" s="990">
        <f t="shared" si="7"/>
        <v>99.946335038427534</v>
      </c>
      <c r="L23" s="990">
        <f t="shared" si="8"/>
        <v>99.997076660380301</v>
      </c>
      <c r="M23" s="944">
        <v>1016</v>
      </c>
      <c r="N23" s="944">
        <v>844</v>
      </c>
      <c r="O23" s="945">
        <f t="shared" si="9"/>
        <v>99.999463482754805</v>
      </c>
      <c r="P23" s="945">
        <f t="shared" si="10"/>
        <v>99.999702745523948</v>
      </c>
      <c r="Q23" s="945">
        <f t="shared" si="11"/>
        <v>99.987415288243199</v>
      </c>
      <c r="R23" s="945">
        <f t="shared" si="12"/>
        <v>99.970264994593023</v>
      </c>
    </row>
    <row r="24" spans="1:18">
      <c r="A24" s="987">
        <v>43770</v>
      </c>
      <c r="B24" s="988">
        <v>2019</v>
      </c>
      <c r="C24" s="989">
        <v>489.04519227923464</v>
      </c>
      <c r="D24" s="989">
        <v>776.53</v>
      </c>
      <c r="E24" s="989">
        <v>379758.26316059404</v>
      </c>
      <c r="F24" s="989">
        <v>20124.133333333335</v>
      </c>
      <c r="G24" s="989">
        <v>1018</v>
      </c>
      <c r="H24" s="944">
        <v>860</v>
      </c>
      <c r="I24" s="990">
        <f t="shared" si="5"/>
        <v>100.21285323270538</v>
      </c>
      <c r="J24" s="990">
        <f t="shared" si="6"/>
        <v>100.17230523512485</v>
      </c>
      <c r="K24" s="990">
        <f t="shared" si="7"/>
        <v>99.948303542364542</v>
      </c>
      <c r="L24" s="990">
        <f t="shared" si="8"/>
        <v>100.01603400635186</v>
      </c>
      <c r="M24" s="944">
        <v>1018</v>
      </c>
      <c r="N24" s="944">
        <v>860</v>
      </c>
      <c r="O24" s="945">
        <f t="shared" si="9"/>
        <v>99.999483178363818</v>
      </c>
      <c r="P24" s="945">
        <f t="shared" si="10"/>
        <v>99.999892324525703</v>
      </c>
      <c r="Q24" s="945">
        <f t="shared" si="11"/>
        <v>99.989383792180206</v>
      </c>
      <c r="R24" s="945">
        <f t="shared" si="12"/>
        <v>99.989222340564581</v>
      </c>
    </row>
    <row r="25" spans="1:18">
      <c r="A25" s="987">
        <v>43800</v>
      </c>
      <c r="B25" s="988">
        <v>2019</v>
      </c>
      <c r="C25" s="989">
        <v>478.82288509528576</v>
      </c>
      <c r="D25" s="989">
        <v>770.39</v>
      </c>
      <c r="E25" s="989">
        <v>368880.36244855716</v>
      </c>
      <c r="F25" s="989">
        <v>20699.129032258064</v>
      </c>
      <c r="G25" s="989">
        <v>1012</v>
      </c>
      <c r="H25" s="944">
        <v>887</v>
      </c>
      <c r="I25" s="990">
        <f t="shared" si="5"/>
        <v>100.1842089561556</v>
      </c>
      <c r="J25" s="990">
        <f t="shared" si="6"/>
        <v>100.20087768042724</v>
      </c>
      <c r="K25" s="990">
        <f t="shared" si="7"/>
        <v>99.942409632737821</v>
      </c>
      <c r="L25" s="990">
        <f t="shared" si="8"/>
        <v>100.04742935518907</v>
      </c>
      <c r="M25" s="944">
        <v>1012</v>
      </c>
      <c r="N25" s="944">
        <v>887</v>
      </c>
      <c r="O25" s="945">
        <f t="shared" si="9"/>
        <v>99.999424208782372</v>
      </c>
      <c r="P25" s="945">
        <f t="shared" si="10"/>
        <v>100.00020622768282</v>
      </c>
      <c r="Q25" s="945">
        <f t="shared" si="11"/>
        <v>99.983489882553485</v>
      </c>
      <c r="R25" s="945">
        <f t="shared" si="12"/>
        <v>100.02061768940179</v>
      </c>
    </row>
    <row r="26" spans="1:18">
      <c r="A26" s="987">
        <v>43831</v>
      </c>
      <c r="B26" s="988">
        <v>2020</v>
      </c>
      <c r="C26" s="989">
        <v>485.83611795904483</v>
      </c>
      <c r="D26" s="989">
        <v>772.65</v>
      </c>
      <c r="E26" s="989">
        <v>375381.276541056</v>
      </c>
      <c r="F26" s="989">
        <v>20834.903225806451</v>
      </c>
      <c r="G26" s="989">
        <v>1020</v>
      </c>
      <c r="H26" s="944">
        <v>891</v>
      </c>
      <c r="I26" s="990">
        <f t="shared" si="5"/>
        <v>100.20183232338867</v>
      </c>
      <c r="J26" s="990">
        <f t="shared" si="6"/>
        <v>100.20743709620443</v>
      </c>
      <c r="K26" s="990">
        <f t="shared" si="7"/>
        <v>99.950314771077743</v>
      </c>
      <c r="L26" s="990">
        <f t="shared" si="8"/>
        <v>100.05193893805266</v>
      </c>
      <c r="M26" s="944">
        <v>1020</v>
      </c>
      <c r="N26" s="944">
        <v>891</v>
      </c>
      <c r="O26" s="945">
        <f t="shared" si="9"/>
        <v>99.999503305717994</v>
      </c>
      <c r="P26" s="945">
        <f t="shared" si="10"/>
        <v>100.00025130213294</v>
      </c>
      <c r="Q26" s="945">
        <f t="shared" si="11"/>
        <v>99.991395020893407</v>
      </c>
      <c r="R26" s="945">
        <f t="shared" si="12"/>
        <v>100.02512727226538</v>
      </c>
    </row>
    <row r="27" spans="1:18">
      <c r="A27" s="987">
        <v>43862</v>
      </c>
      <c r="B27" s="988">
        <v>2020</v>
      </c>
      <c r="C27" s="989">
        <v>487.76342375700193</v>
      </c>
      <c r="D27" s="989">
        <v>796.38</v>
      </c>
      <c r="E27" s="989">
        <v>388445.03541160119</v>
      </c>
      <c r="F27" s="989">
        <v>21530.862068965518</v>
      </c>
      <c r="G27" s="989">
        <v>1027</v>
      </c>
      <c r="H27" s="944">
        <v>886</v>
      </c>
      <c r="I27" s="990">
        <f t="shared" si="5"/>
        <v>100.23663362991871</v>
      </c>
      <c r="J27" s="990">
        <f t="shared" si="6"/>
        <v>100.24084060356016</v>
      </c>
      <c r="K27" s="990">
        <f t="shared" si="7"/>
        <v>99.957177516175776</v>
      </c>
      <c r="L27" s="990">
        <f t="shared" si="8"/>
        <v>100.04632726577432</v>
      </c>
      <c r="M27" s="944">
        <v>1027</v>
      </c>
      <c r="N27" s="944">
        <v>886</v>
      </c>
      <c r="O27" s="945">
        <f t="shared" si="9"/>
        <v>99.999571967283629</v>
      </c>
      <c r="P27" s="945">
        <f t="shared" si="10"/>
        <v>100.00019521454145</v>
      </c>
      <c r="Q27" s="945">
        <f t="shared" si="11"/>
        <v>99.99825776599144</v>
      </c>
      <c r="R27" s="945">
        <f t="shared" si="12"/>
        <v>100.01951559998705</v>
      </c>
    </row>
    <row r="28" spans="1:18">
      <c r="A28" s="987">
        <v>43891</v>
      </c>
      <c r="B28" s="988">
        <v>2020</v>
      </c>
      <c r="C28" s="989">
        <v>494.50513305175457</v>
      </c>
      <c r="D28" s="989">
        <v>839.97</v>
      </c>
      <c r="E28" s="989">
        <v>415369.47660948231</v>
      </c>
      <c r="F28" s="989">
        <v>22503.741935483871</v>
      </c>
      <c r="G28" s="989">
        <v>1046</v>
      </c>
      <c r="H28" s="944">
        <v>912</v>
      </c>
      <c r="I28" s="990">
        <f t="shared" si="5"/>
        <v>100.30594701725381</v>
      </c>
      <c r="J28" s="990">
        <f t="shared" si="6"/>
        <v>100.28602596880016</v>
      </c>
      <c r="K28" s="990">
        <f t="shared" si="7"/>
        <v>99.975678003030694</v>
      </c>
      <c r="L28" s="990">
        <f t="shared" si="8"/>
        <v>100.07567263823482</v>
      </c>
      <c r="M28" s="944">
        <v>1046</v>
      </c>
      <c r="N28" s="944">
        <v>912</v>
      </c>
      <c r="O28" s="945">
        <f t="shared" si="9"/>
        <v>99.999757051409802</v>
      </c>
      <c r="P28" s="945">
        <f t="shared" si="10"/>
        <v>100.00048853237992</v>
      </c>
      <c r="Q28" s="945">
        <f t="shared" si="11"/>
        <v>100.01675825284636</v>
      </c>
      <c r="R28" s="945">
        <f t="shared" si="12"/>
        <v>100.04886097244754</v>
      </c>
    </row>
    <row r="29" spans="1:18">
      <c r="A29" s="987">
        <v>43922</v>
      </c>
      <c r="B29" s="988">
        <v>2020</v>
      </c>
      <c r="C29" s="989">
        <v>485.93022164445802</v>
      </c>
      <c r="D29" s="989">
        <v>853.38</v>
      </c>
      <c r="E29" s="989">
        <v>414683.13254694757</v>
      </c>
      <c r="F29" s="989">
        <v>23391.4</v>
      </c>
      <c r="G29" s="989">
        <v>1056</v>
      </c>
      <c r="H29" s="944">
        <v>913</v>
      </c>
      <c r="I29" s="990">
        <f t="shared" si="5"/>
        <v>100.30429464725269</v>
      </c>
      <c r="J29" s="990">
        <f t="shared" si="6"/>
        <v>100.32547087832059</v>
      </c>
      <c r="K29" s="990">
        <f t="shared" si="7"/>
        <v>99.985238232476206</v>
      </c>
      <c r="L29" s="990">
        <f t="shared" si="8"/>
        <v>100.07676912946289</v>
      </c>
      <c r="M29" s="944">
        <v>1056</v>
      </c>
      <c r="N29" s="944">
        <v>913</v>
      </c>
      <c r="O29" s="945">
        <f t="shared" si="9"/>
        <v>99.999852676962306</v>
      </c>
      <c r="P29" s="945">
        <f t="shared" si="10"/>
        <v>100.00049948900103</v>
      </c>
      <c r="Q29" s="945">
        <f t="shared" si="11"/>
        <v>100.02631848229187</v>
      </c>
      <c r="R29" s="945">
        <f t="shared" si="12"/>
        <v>100.04995746367561</v>
      </c>
    </row>
    <row r="30" spans="1:18">
      <c r="A30" s="987">
        <v>43952</v>
      </c>
      <c r="B30" s="988">
        <v>2020</v>
      </c>
      <c r="C30" s="989">
        <v>488.60434020492249</v>
      </c>
      <c r="D30" s="989">
        <v>821.81</v>
      </c>
      <c r="E30" s="989">
        <v>401539.93282380735</v>
      </c>
      <c r="F30" s="989">
        <v>23366.354838709678</v>
      </c>
      <c r="G30" s="989">
        <v>1091</v>
      </c>
      <c r="H30" s="944">
        <v>927</v>
      </c>
      <c r="I30" s="990">
        <f t="shared" si="5"/>
        <v>100.27260008653492</v>
      </c>
      <c r="J30" s="990">
        <f t="shared" si="6"/>
        <v>100.32440017877758</v>
      </c>
      <c r="K30" s="990">
        <f t="shared" si="7"/>
        <v>100.01838217187014</v>
      </c>
      <c r="L30" s="990">
        <f t="shared" si="8"/>
        <v>100.09210319298973</v>
      </c>
      <c r="M30" s="944">
        <v>1091</v>
      </c>
      <c r="N30" s="944">
        <v>927</v>
      </c>
      <c r="O30" s="945">
        <f t="shared" si="9"/>
        <v>100.00018416528978</v>
      </c>
      <c r="P30" s="945">
        <f t="shared" si="10"/>
        <v>100.00065271200833</v>
      </c>
      <c r="Q30" s="945">
        <f t="shared" si="11"/>
        <v>100.05946242168581</v>
      </c>
      <c r="R30" s="945">
        <f t="shared" si="12"/>
        <v>100.06529152720245</v>
      </c>
    </row>
    <row r="31" spans="1:18">
      <c r="A31" s="987">
        <v>43983</v>
      </c>
      <c r="B31" s="988">
        <v>2020</v>
      </c>
      <c r="C31" s="989">
        <v>506.83333341292433</v>
      </c>
      <c r="D31" s="989">
        <v>792.72</v>
      </c>
      <c r="E31" s="989">
        <v>401776.92006309336</v>
      </c>
      <c r="F31" s="989">
        <v>22901.533333333333</v>
      </c>
      <c r="G31" s="989">
        <v>1072</v>
      </c>
      <c r="H31" s="944">
        <v>914</v>
      </c>
      <c r="I31" s="990">
        <f t="shared" si="5"/>
        <v>100.27319028247787</v>
      </c>
      <c r="J31" s="990">
        <f t="shared" si="6"/>
        <v>100.30450740951234</v>
      </c>
      <c r="K31" s="990">
        <f t="shared" si="7"/>
        <v>100.00096695647143</v>
      </c>
      <c r="L31" s="990">
        <f t="shared" si="8"/>
        <v>100.07807946051939</v>
      </c>
      <c r="M31" s="944">
        <v>1072</v>
      </c>
      <c r="N31" s="944">
        <v>914</v>
      </c>
      <c r="O31" s="945">
        <f t="shared" si="9"/>
        <v>100.00001004514286</v>
      </c>
      <c r="P31" s="945">
        <f t="shared" si="10"/>
        <v>100.00051260372783</v>
      </c>
      <c r="Q31" s="945">
        <f t="shared" si="11"/>
        <v>100.04204720628709</v>
      </c>
      <c r="R31" s="945">
        <f t="shared" si="12"/>
        <v>100.05126779473211</v>
      </c>
    </row>
    <row r="32" spans="1:18">
      <c r="A32" s="987">
        <v>44013</v>
      </c>
      <c r="B32" s="988">
        <v>2020</v>
      </c>
      <c r="C32" s="989">
        <v>534.75582564397189</v>
      </c>
      <c r="D32" s="989">
        <v>784.73</v>
      </c>
      <c r="E32" s="989">
        <v>419638.93905759405</v>
      </c>
      <c r="F32" s="989">
        <v>23378.064516129034</v>
      </c>
      <c r="G32" s="989">
        <v>1050</v>
      </c>
      <c r="H32" s="944">
        <v>906</v>
      </c>
      <c r="I32" s="990">
        <f t="shared" si="5"/>
        <v>100.31764783616636</v>
      </c>
      <c r="J32" s="990">
        <f t="shared" si="6"/>
        <v>100.32531523822232</v>
      </c>
      <c r="K32" s="990">
        <f t="shared" si="7"/>
        <v>99.980444568411727</v>
      </c>
      <c r="L32" s="990">
        <f t="shared" si="8"/>
        <v>100.06932672528963</v>
      </c>
      <c r="M32" s="944">
        <v>1050</v>
      </c>
      <c r="N32" s="944">
        <v>906</v>
      </c>
      <c r="O32" s="945">
        <f t="shared" si="9"/>
        <v>99.999804823246663</v>
      </c>
      <c r="P32" s="945">
        <f t="shared" si="10"/>
        <v>100.0004251446631</v>
      </c>
      <c r="Q32" s="945">
        <f t="shared" si="11"/>
        <v>100.02152481822739</v>
      </c>
      <c r="R32" s="945">
        <f t="shared" si="12"/>
        <v>100.04251505950235</v>
      </c>
    </row>
    <row r="33" spans="1:18">
      <c r="A33" s="987">
        <v>44044</v>
      </c>
      <c r="B33" s="988">
        <v>2020</v>
      </c>
      <c r="C33" s="989">
        <v>546.97583411464359</v>
      </c>
      <c r="D33" s="989">
        <v>784.66</v>
      </c>
      <c r="E33" s="989">
        <v>429190.05799639621</v>
      </c>
      <c r="F33" s="989">
        <v>25388.387096774193</v>
      </c>
      <c r="G33" s="989">
        <v>1041</v>
      </c>
      <c r="H33" s="944">
        <v>895</v>
      </c>
      <c r="I33" s="990">
        <f t="shared" si="5"/>
        <v>100.34040816188887</v>
      </c>
      <c r="J33" s="990">
        <f t="shared" si="6"/>
        <v>100.41130706955028</v>
      </c>
      <c r="K33" s="990">
        <f t="shared" si="7"/>
        <v>99.971873139840298</v>
      </c>
      <c r="L33" s="990">
        <f t="shared" si="8"/>
        <v>100.05718544493642</v>
      </c>
      <c r="M33" s="944">
        <v>1041</v>
      </c>
      <c r="N33" s="944">
        <v>895</v>
      </c>
      <c r="O33" s="945">
        <f t="shared" si="9"/>
        <v>99.999719092195875</v>
      </c>
      <c r="P33" s="945">
        <f t="shared" si="10"/>
        <v>100.00030381597277</v>
      </c>
      <c r="Q33" s="945">
        <f t="shared" si="11"/>
        <v>100.01295338965596</v>
      </c>
      <c r="R33" s="945">
        <f t="shared" si="12"/>
        <v>100.03037377914914</v>
      </c>
    </row>
    <row r="34" spans="1:18">
      <c r="A34" s="987">
        <v>44075</v>
      </c>
      <c r="B34" s="988">
        <v>2020</v>
      </c>
      <c r="C34" s="989">
        <v>547.30008592686488</v>
      </c>
      <c r="D34" s="989">
        <v>773.4</v>
      </c>
      <c r="E34" s="989">
        <v>423281.88645583729</v>
      </c>
      <c r="F34" s="989">
        <v>30916.533333333333</v>
      </c>
      <c r="G34" s="989">
        <v>1055</v>
      </c>
      <c r="H34" s="944">
        <v>900</v>
      </c>
      <c r="I34" s="990">
        <f t="shared" si="5"/>
        <v>100.32664229888603</v>
      </c>
      <c r="J34" s="990">
        <f t="shared" si="6"/>
        <v>100.62905017451742</v>
      </c>
      <c r="K34" s="990">
        <f t="shared" si="7"/>
        <v>99.985321746948841</v>
      </c>
      <c r="L34" s="990">
        <f t="shared" si="8"/>
        <v>100.0627720371152</v>
      </c>
      <c r="M34" s="944">
        <v>1055</v>
      </c>
      <c r="N34" s="944">
        <v>900</v>
      </c>
      <c r="O34" s="945">
        <f t="shared" si="9"/>
        <v>99.999853616104318</v>
      </c>
      <c r="P34" s="945">
        <f t="shared" si="10"/>
        <v>100.00035964996565</v>
      </c>
      <c r="Q34" s="945">
        <f t="shared" si="11"/>
        <v>100.02640199676451</v>
      </c>
      <c r="R34" s="945">
        <f t="shared" si="12"/>
        <v>100.03596037132792</v>
      </c>
    </row>
    <row r="35" spans="1:18">
      <c r="A35" s="987">
        <v>44105</v>
      </c>
      <c r="B35" s="988">
        <v>2020</v>
      </c>
      <c r="C35" s="989">
        <v>611.45540506874011</v>
      </c>
      <c r="D35" s="989">
        <v>778.27</v>
      </c>
      <c r="E35" s="989">
        <v>475877.39810284832</v>
      </c>
      <c r="F35" s="989">
        <v>31507.741935483871</v>
      </c>
      <c r="G35" s="989">
        <v>1158</v>
      </c>
      <c r="H35" s="944">
        <v>910</v>
      </c>
      <c r="I35" s="990">
        <f t="shared" si="5"/>
        <v>100.45089876562831</v>
      </c>
      <c r="J35" s="990">
        <f t="shared" si="6"/>
        <v>100.64817290719175</v>
      </c>
      <c r="K35" s="990">
        <f t="shared" si="7"/>
        <v>100.08295207870239</v>
      </c>
      <c r="L35" s="990">
        <f t="shared" si="8"/>
        <v>100.0738831482263</v>
      </c>
      <c r="M35" s="944">
        <v>1158</v>
      </c>
      <c r="N35" s="944">
        <v>910</v>
      </c>
      <c r="O35" s="945">
        <f t="shared" si="9"/>
        <v>100.00083006274716</v>
      </c>
      <c r="P35" s="945">
        <f t="shared" si="10"/>
        <v>100.00047069137381</v>
      </c>
      <c r="Q35" s="945">
        <f t="shared" si="11"/>
        <v>100.12403232851806</v>
      </c>
      <c r="R35" s="945">
        <f t="shared" si="12"/>
        <v>100.04707148243902</v>
      </c>
    </row>
    <row r="36" spans="1:18">
      <c r="A36" s="987">
        <v>44136</v>
      </c>
      <c r="B36" s="988">
        <v>2020</v>
      </c>
      <c r="C36" s="989">
        <v>657.03983530257608</v>
      </c>
      <c r="D36" s="989">
        <v>763.72</v>
      </c>
      <c r="E36" s="989">
        <v>501794.46301728341</v>
      </c>
      <c r="F36" s="989">
        <v>29467.733333333334</v>
      </c>
      <c r="G36" s="989">
        <v>1069</v>
      </c>
      <c r="H36" s="944">
        <v>898</v>
      </c>
      <c r="I36" s="990">
        <f t="shared" si="5"/>
        <v>100.50536040851733</v>
      </c>
      <c r="J36" s="990">
        <f t="shared" si="6"/>
        <v>100.58342664240617</v>
      </c>
      <c r="K36" s="990">
        <f t="shared" si="7"/>
        <v>100.00609542930688</v>
      </c>
      <c r="L36" s="990">
        <f t="shared" si="8"/>
        <v>100.06069633503948</v>
      </c>
      <c r="M36" s="944">
        <v>1069</v>
      </c>
      <c r="N36" s="944">
        <v>898</v>
      </c>
      <c r="O36" s="945">
        <f t="shared" si="9"/>
        <v>100.00006213326667</v>
      </c>
      <c r="P36" s="945">
        <f t="shared" si="10"/>
        <v>100.00033892059834</v>
      </c>
      <c r="Q36" s="945">
        <f t="shared" si="11"/>
        <v>100.04717567912255</v>
      </c>
      <c r="R36" s="945">
        <f t="shared" si="12"/>
        <v>100.0338846692522</v>
      </c>
    </row>
    <row r="37" spans="1:18">
      <c r="A37" s="987">
        <v>44166</v>
      </c>
      <c r="B37" s="988">
        <v>2020</v>
      </c>
      <c r="C37" s="989">
        <v>522.55345354356325</v>
      </c>
      <c r="D37" s="989">
        <v>734.73</v>
      </c>
      <c r="E37" s="989">
        <v>383935.69892206223</v>
      </c>
      <c r="F37" s="989">
        <v>27967.451612903227</v>
      </c>
      <c r="G37" s="989">
        <v>1063</v>
      </c>
      <c r="H37" s="944">
        <v>896</v>
      </c>
      <c r="I37" s="990">
        <f t="shared" si="5"/>
        <v>100.2704858278244</v>
      </c>
      <c r="J37" s="990">
        <f t="shared" si="6"/>
        <v>100.532513947376</v>
      </c>
      <c r="K37" s="990">
        <f t="shared" si="7"/>
        <v>100.00048270713663</v>
      </c>
      <c r="L37" s="990">
        <f t="shared" si="8"/>
        <v>100.05846916354727</v>
      </c>
      <c r="M37" s="944">
        <v>1063</v>
      </c>
      <c r="N37" s="944">
        <v>896</v>
      </c>
      <c r="O37" s="945">
        <f t="shared" si="9"/>
        <v>100.00000600946595</v>
      </c>
      <c r="P37" s="945">
        <f t="shared" si="10"/>
        <v>100.00031666239333</v>
      </c>
      <c r="Q37" s="945">
        <f t="shared" si="11"/>
        <v>100.04156295695229</v>
      </c>
      <c r="R37" s="945">
        <f t="shared" si="12"/>
        <v>100.03165749775999</v>
      </c>
    </row>
    <row r="38" spans="1:18">
      <c r="A38" s="987">
        <v>44197</v>
      </c>
      <c r="B38" s="988">
        <v>2021</v>
      </c>
      <c r="C38" s="992">
        <f>+'57'!G18</f>
        <v>524.3046206835927</v>
      </c>
      <c r="D38" s="992">
        <v>723.56</v>
      </c>
      <c r="E38" s="989">
        <f>C38*D38</f>
        <v>379365.85134182032</v>
      </c>
      <c r="F38" s="989">
        <f>'57'!I18*D38/10</f>
        <v>25659.741935483871</v>
      </c>
      <c r="G38" s="989">
        <f>'59'!G19</f>
        <v>1062</v>
      </c>
      <c r="H38" s="943">
        <f>'59'!H19</f>
        <v>901</v>
      </c>
      <c r="I38" s="1041">
        <f t="shared" si="5"/>
        <v>100.25858318997886</v>
      </c>
      <c r="J38" s="1042">
        <f>((F38-F37)/F37)+J37</f>
        <v>100.44999982669886</v>
      </c>
      <c r="K38" s="990">
        <f t="shared" si="7"/>
        <v>99.999541973364288</v>
      </c>
      <c r="L38" s="990">
        <f t="shared" si="8"/>
        <v>100.06404952069013</v>
      </c>
    </row>
    <row r="39" spans="1:18">
      <c r="A39" s="987">
        <v>44228</v>
      </c>
      <c r="B39" s="988">
        <v>2021</v>
      </c>
      <c r="C39" s="992">
        <f>+'57'!G19</f>
        <v>570.13865280248558</v>
      </c>
      <c r="D39" s="992">
        <v>722.63</v>
      </c>
      <c r="E39" s="989">
        <f>C39*D39</f>
        <v>411999.29467466014</v>
      </c>
      <c r="F39" s="989">
        <f>'57'!I19*D39/10</f>
        <v>25049.666666666668</v>
      </c>
      <c r="G39" s="989">
        <f>'59'!G20</f>
        <v>1072</v>
      </c>
      <c r="H39" s="943">
        <f>'59'!H20</f>
        <v>900</v>
      </c>
      <c r="I39" s="1041">
        <f t="shared" ref="I39" si="13">((E39-E38)/E38)+I38</f>
        <v>100.34460422539208</v>
      </c>
      <c r="J39" s="1042">
        <f t="shared" ref="J39" si="14">((F39-F38)/F38)+J38</f>
        <v>100.4262242458551</v>
      </c>
      <c r="K39" s="990">
        <f t="shared" ref="K39" si="15">((G39-G38)/G38)+K38</f>
        <v>100.00895816922116</v>
      </c>
      <c r="L39" s="990">
        <f t="shared" ref="L39" si="16">((H39-H38)/H38)+L38</f>
        <v>100.0629396427767</v>
      </c>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K54"/>
  <sheetViews>
    <sheetView topLeftCell="A10" zoomScaleNormal="100" workbookViewId="0">
      <selection activeCell="J23" sqref="J23"/>
    </sheetView>
  </sheetViews>
  <sheetFormatPr baseColWidth="10" defaultColWidth="10.90625" defaultRowHeight="12.75"/>
  <cols>
    <col min="1" max="1" width="2.08984375" style="13" customWidth="1"/>
    <col min="2" max="2" width="9.36328125" style="13" customWidth="1"/>
    <col min="3" max="8" width="9.08984375" style="13" customWidth="1"/>
    <col min="9" max="16384" width="10.90625" style="13"/>
  </cols>
  <sheetData>
    <row r="1" spans="2:11" s="29" customFormat="1" ht="15" customHeight="1">
      <c r="B1" s="1107" t="s">
        <v>45</v>
      </c>
      <c r="C1" s="1107"/>
      <c r="D1" s="1107"/>
      <c r="E1" s="1107"/>
      <c r="F1" s="1107"/>
      <c r="G1" s="1107"/>
      <c r="H1" s="1107"/>
    </row>
    <row r="2" spans="2:11" s="29" customFormat="1" ht="15" customHeight="1">
      <c r="B2" s="59"/>
      <c r="C2" s="59"/>
      <c r="D2" s="59"/>
      <c r="E2" s="59"/>
    </row>
    <row r="3" spans="2:11" s="29" customFormat="1" ht="18.600000000000001" customHeight="1">
      <c r="B3" s="1108" t="s">
        <v>453</v>
      </c>
      <c r="C3" s="1108"/>
      <c r="D3" s="1108"/>
      <c r="E3" s="1108"/>
      <c r="F3" s="1108"/>
      <c r="G3" s="1108"/>
      <c r="H3" s="1108"/>
    </row>
    <row r="4" spans="2:11" s="29" customFormat="1" ht="18" customHeight="1">
      <c r="B4" s="1107" t="s">
        <v>506</v>
      </c>
      <c r="C4" s="1107"/>
      <c r="D4" s="1107"/>
      <c r="E4" s="1107"/>
      <c r="F4" s="1107"/>
      <c r="G4" s="1107"/>
      <c r="H4" s="1107"/>
    </row>
    <row r="5" spans="2:11" s="29" customFormat="1" ht="27" customHeight="1">
      <c r="B5" s="1111" t="s">
        <v>11</v>
      </c>
      <c r="C5" s="1111" t="s">
        <v>639</v>
      </c>
      <c r="D5" s="1111"/>
      <c r="E5" s="1111"/>
      <c r="F5" s="1111" t="s">
        <v>640</v>
      </c>
      <c r="G5" s="1111"/>
      <c r="H5" s="1111"/>
    </row>
    <row r="6" spans="2:11" s="29" customFormat="1" ht="42.75" customHeight="1">
      <c r="B6" s="1111"/>
      <c r="C6" s="910" t="s">
        <v>407</v>
      </c>
      <c r="D6" s="273" t="s">
        <v>408</v>
      </c>
      <c r="E6" s="273" t="s">
        <v>641</v>
      </c>
      <c r="F6" s="910" t="s">
        <v>407</v>
      </c>
      <c r="G6" s="910" t="s">
        <v>408</v>
      </c>
      <c r="H6" s="910" t="s">
        <v>641</v>
      </c>
    </row>
    <row r="7" spans="2:11" s="29" customFormat="1" ht="15.75" customHeight="1">
      <c r="B7" s="87" t="s">
        <v>66</v>
      </c>
      <c r="C7" s="831">
        <v>265.24599999999998</v>
      </c>
      <c r="D7" s="831"/>
      <c r="E7" s="149"/>
      <c r="F7" s="831">
        <v>15.398</v>
      </c>
      <c r="G7" s="909"/>
      <c r="H7" s="909"/>
    </row>
    <row r="8" spans="2:11" s="29" customFormat="1" ht="15.75" customHeight="1">
      <c r="B8" s="87" t="s">
        <v>67</v>
      </c>
      <c r="C8" s="831">
        <v>246.95099999999999</v>
      </c>
      <c r="D8" s="831"/>
      <c r="E8" s="831"/>
      <c r="F8" s="831">
        <v>17.353000000000002</v>
      </c>
      <c r="G8" s="831"/>
      <c r="H8" s="831"/>
    </row>
    <row r="9" spans="2:11" s="29" customFormat="1" ht="15.75" customHeight="1">
      <c r="B9" s="87" t="s">
        <v>68</v>
      </c>
      <c r="C9" s="831">
        <v>257.06</v>
      </c>
      <c r="D9" s="831"/>
      <c r="E9" s="831"/>
      <c r="F9" s="831">
        <v>14.355</v>
      </c>
      <c r="G9" s="831"/>
      <c r="H9" s="831"/>
    </row>
    <row r="10" spans="2:11" s="29" customFormat="1" ht="15.75" customHeight="1">
      <c r="B10" s="87" t="s">
        <v>63</v>
      </c>
      <c r="C10" s="831">
        <v>228.58699999999999</v>
      </c>
      <c r="D10" s="831">
        <v>1114.4113</v>
      </c>
      <c r="E10" s="831">
        <v>48.8</v>
      </c>
      <c r="F10" s="831">
        <v>16.690000000000001</v>
      </c>
      <c r="G10" s="831">
        <v>98.689700000000002</v>
      </c>
      <c r="H10" s="831">
        <v>59.1</v>
      </c>
    </row>
    <row r="11" spans="2:11" s="29" customFormat="1" ht="15.75" customHeight="1">
      <c r="B11" s="87" t="s">
        <v>65</v>
      </c>
      <c r="C11" s="831">
        <v>238.41</v>
      </c>
      <c r="D11" s="831">
        <v>1365.1233</v>
      </c>
      <c r="E11" s="831">
        <v>57.259481565370578</v>
      </c>
      <c r="F11" s="831">
        <v>15.217000000000001</v>
      </c>
      <c r="G11" s="831">
        <v>109.53919999999999</v>
      </c>
      <c r="H11" s="831">
        <v>71.984753893671552</v>
      </c>
    </row>
    <row r="12" spans="2:11" s="29" customFormat="1" ht="15.75" customHeight="1">
      <c r="B12" s="87" t="s">
        <v>69</v>
      </c>
      <c r="C12" s="831">
        <v>236.12200000000001</v>
      </c>
      <c r="D12" s="831">
        <v>1236.0917400000001</v>
      </c>
      <c r="E12" s="831">
        <v>52.349706507652819</v>
      </c>
      <c r="F12" s="831">
        <v>18.734999999999999</v>
      </c>
      <c r="G12" s="831">
        <v>122.03686999999999</v>
      </c>
      <c r="H12" s="831">
        <v>65.138441419802504</v>
      </c>
    </row>
    <row r="13" spans="2:11" s="29" customFormat="1" ht="15.75" customHeight="1">
      <c r="B13" s="87" t="s">
        <v>108</v>
      </c>
      <c r="C13" s="831">
        <v>241.16</v>
      </c>
      <c r="D13" s="831">
        <v>1333.2125000000001</v>
      </c>
      <c r="E13" s="831">
        <v>55.283318129042961</v>
      </c>
      <c r="F13" s="831">
        <v>22.004000000000001</v>
      </c>
      <c r="G13" s="831">
        <v>149.0976</v>
      </c>
      <c r="H13" s="831">
        <v>67.759316487911292</v>
      </c>
    </row>
    <row r="14" spans="2:11" s="29" customFormat="1" ht="15.75" customHeight="1">
      <c r="B14" s="94" t="s">
        <v>158</v>
      </c>
      <c r="C14" s="831">
        <v>257.786</v>
      </c>
      <c r="D14" s="831">
        <v>1531.0056</v>
      </c>
      <c r="E14" s="831">
        <v>59.4</v>
      </c>
      <c r="F14" s="831">
        <v>27.510999999999999</v>
      </c>
      <c r="G14" s="831">
        <v>200.92939999999999</v>
      </c>
      <c r="H14" s="831">
        <v>73</v>
      </c>
    </row>
    <row r="15" spans="2:11" ht="15.75" customHeight="1">
      <c r="B15" s="94" t="s">
        <v>363</v>
      </c>
      <c r="C15" s="121">
        <v>205.18899999999999</v>
      </c>
      <c r="D15" s="121">
        <v>1221.2691400000001</v>
      </c>
      <c r="E15" s="831">
        <v>59.51923056304188</v>
      </c>
      <c r="F15" s="831">
        <v>19.853000000000002</v>
      </c>
      <c r="G15" s="831">
        <v>128.22280000000001</v>
      </c>
      <c r="H15" s="831">
        <v>64.586107893013647</v>
      </c>
      <c r="J15" s="54"/>
      <c r="K15" s="49"/>
    </row>
    <row r="16" spans="2:11" ht="15.75" customHeight="1">
      <c r="B16" s="94" t="s">
        <v>449</v>
      </c>
      <c r="C16" s="121">
        <v>208.23699999999999</v>
      </c>
      <c r="D16" s="121">
        <v>1281.3397</v>
      </c>
      <c r="E16" s="831">
        <v>61.532758347459868</v>
      </c>
      <c r="F16" s="831">
        <v>28.178000000000001</v>
      </c>
      <c r="G16" s="831">
        <v>187.66370000000001</v>
      </c>
      <c r="H16" s="831">
        <v>66.599368301511817</v>
      </c>
      <c r="J16" s="54"/>
      <c r="K16" s="49"/>
    </row>
    <row r="17" spans="2:11" ht="15.75" customHeight="1">
      <c r="B17" s="94" t="s">
        <v>474</v>
      </c>
      <c r="C17" s="121">
        <v>195.40299999999999</v>
      </c>
      <c r="D17" s="121">
        <v>1204.8561999999999</v>
      </c>
      <c r="E17" s="831">
        <v>61.660066631525616</v>
      </c>
      <c r="F17" s="831">
        <v>27.302</v>
      </c>
      <c r="G17" s="831">
        <v>195.06280000000001</v>
      </c>
      <c r="H17" s="831">
        <v>71.446340927404592</v>
      </c>
      <c r="J17" s="54"/>
      <c r="K17" s="49"/>
    </row>
    <row r="18" spans="2:11" ht="15.75" customHeight="1">
      <c r="B18" s="908" t="s">
        <v>614</v>
      </c>
      <c r="C18" s="121">
        <v>183.07300000000001</v>
      </c>
      <c r="D18" s="121">
        <v>1086.1401000000001</v>
      </c>
      <c r="E18" s="831">
        <v>59.328251571777379</v>
      </c>
      <c r="F18" s="831">
        <v>21.963000000000001</v>
      </c>
      <c r="G18" s="831">
        <v>144.84829999999999</v>
      </c>
      <c r="H18" s="831">
        <v>65.95105404544006</v>
      </c>
      <c r="J18" s="54"/>
      <c r="K18" s="49"/>
    </row>
    <row r="19" spans="2:11" ht="46.5" customHeight="1">
      <c r="B19" s="1110" t="s">
        <v>642</v>
      </c>
      <c r="C19" s="1110"/>
      <c r="D19" s="1110"/>
      <c r="E19" s="1110"/>
      <c r="F19" s="1110"/>
      <c r="G19" s="1110"/>
      <c r="H19" s="1110"/>
      <c r="I19" s="56"/>
      <c r="J19" s="56"/>
    </row>
    <row r="20" spans="2:11">
      <c r="C20" s="65"/>
      <c r="D20" s="65"/>
      <c r="E20" s="66"/>
    </row>
    <row r="22" spans="2:11">
      <c r="F22" s="177"/>
    </row>
    <row r="38" spans="1:1" ht="38.25" customHeight="1"/>
    <row r="40" spans="1:1">
      <c r="A40" s="70"/>
    </row>
    <row r="54" spans="1:8" ht="30" customHeight="1">
      <c r="A54" s="220"/>
      <c r="H54" s="220"/>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O53"/>
  <sheetViews>
    <sheetView zoomScaleNormal="100" zoomScaleSheetLayoutView="50" workbookViewId="0">
      <selection activeCell="M28" sqref="M28"/>
    </sheetView>
  </sheetViews>
  <sheetFormatPr baseColWidth="10" defaultColWidth="10.90625" defaultRowHeight="12.75"/>
  <cols>
    <col min="1" max="1" width="0.90625" style="13" customWidth="1"/>
    <col min="2" max="2" width="10.81640625" style="13" customWidth="1"/>
    <col min="3" max="6" width="11.1796875" style="13" customWidth="1"/>
    <col min="7" max="7" width="1.54296875" style="13" customWidth="1"/>
    <col min="8" max="8" width="3.90625" style="13" customWidth="1"/>
    <col min="9" max="9" width="6.36328125" style="153" customWidth="1"/>
    <col min="10" max="10" width="9.453125" style="153" customWidth="1"/>
    <col min="11" max="16384" width="10.90625" style="153"/>
  </cols>
  <sheetData>
    <row r="1" spans="2:15" s="29" customFormat="1" ht="15" customHeight="1">
      <c r="B1" s="1107" t="s">
        <v>3</v>
      </c>
      <c r="C1" s="1107"/>
      <c r="D1" s="1107"/>
      <c r="E1" s="1107"/>
      <c r="F1" s="1107"/>
    </row>
    <row r="2" spans="2:15" s="29" customFormat="1" ht="15" customHeight="1">
      <c r="B2" s="30"/>
      <c r="C2" s="30"/>
      <c r="D2" s="30"/>
      <c r="E2" s="30"/>
      <c r="F2" s="30"/>
    </row>
    <row r="3" spans="2:15" s="29" customFormat="1" ht="31.5" customHeight="1">
      <c r="B3" s="1115" t="s">
        <v>620</v>
      </c>
      <c r="C3" s="1116"/>
      <c r="D3" s="1116"/>
      <c r="E3" s="1116"/>
      <c r="F3" s="1116"/>
    </row>
    <row r="4" spans="2:15" s="29" customFormat="1" ht="15.75" customHeight="1">
      <c r="B4" s="1116" t="s">
        <v>546</v>
      </c>
      <c r="C4" s="1116"/>
      <c r="D4" s="1116"/>
      <c r="E4" s="1116"/>
      <c r="F4" s="1116"/>
    </row>
    <row r="5" spans="2:15" s="29" customFormat="1" ht="45" customHeight="1">
      <c r="B5" s="558" t="s">
        <v>11</v>
      </c>
      <c r="C5" s="558" t="s">
        <v>12</v>
      </c>
      <c r="D5" s="559" t="s">
        <v>32</v>
      </c>
      <c r="E5" s="559" t="s">
        <v>30</v>
      </c>
      <c r="F5" s="559" t="s">
        <v>612</v>
      </c>
    </row>
    <row r="6" spans="2:15" s="13" customFormat="1" ht="15.75" customHeight="1">
      <c r="B6" s="1117" t="s">
        <v>477</v>
      </c>
      <c r="C6" s="61" t="s">
        <v>203</v>
      </c>
      <c r="D6" s="646">
        <v>67</v>
      </c>
      <c r="E6" s="646">
        <v>56.5</v>
      </c>
      <c r="F6" s="647">
        <v>8.432835820895523</v>
      </c>
      <c r="G6" s="47"/>
      <c r="H6" s="57"/>
      <c r="I6" s="229"/>
      <c r="J6" s="49"/>
      <c r="K6" s="50"/>
      <c r="L6" s="54"/>
      <c r="M6" s="49"/>
    </row>
    <row r="7" spans="2:15" s="13" customFormat="1" ht="15.75" customHeight="1">
      <c r="B7" s="1118"/>
      <c r="C7" s="61" t="s">
        <v>172</v>
      </c>
      <c r="D7" s="646">
        <v>472</v>
      </c>
      <c r="E7" s="646">
        <v>3043.4</v>
      </c>
      <c r="F7" s="647">
        <v>64.478813559322035</v>
      </c>
      <c r="G7" s="47"/>
      <c r="H7" s="57"/>
      <c r="I7" s="52"/>
      <c r="J7" s="55"/>
      <c r="K7" s="50"/>
      <c r="L7" s="54"/>
      <c r="M7" s="55"/>
    </row>
    <row r="8" spans="2:15" s="13" customFormat="1" ht="15.75" customHeight="1">
      <c r="B8" s="1118"/>
      <c r="C8" s="61" t="s">
        <v>204</v>
      </c>
      <c r="D8" s="646">
        <v>804</v>
      </c>
      <c r="E8" s="646">
        <v>3539.2</v>
      </c>
      <c r="F8" s="647">
        <v>44.019900497512438</v>
      </c>
      <c r="G8" s="47"/>
      <c r="H8" s="57"/>
      <c r="I8" s="52"/>
      <c r="J8" s="55"/>
      <c r="K8" s="50"/>
      <c r="L8" s="54"/>
      <c r="M8" s="55"/>
    </row>
    <row r="9" spans="2:15" s="13" customFormat="1" ht="15.75" customHeight="1">
      <c r="B9" s="1118"/>
      <c r="C9" s="61" t="s">
        <v>205</v>
      </c>
      <c r="D9" s="646">
        <v>3922</v>
      </c>
      <c r="E9" s="646">
        <v>18115.400000000001</v>
      </c>
      <c r="F9" s="647">
        <v>46.189189189189193</v>
      </c>
      <c r="G9" s="47"/>
      <c r="H9" s="57"/>
      <c r="I9" s="52"/>
      <c r="J9" s="55"/>
      <c r="K9" s="50"/>
      <c r="L9" s="54"/>
      <c r="M9" s="55"/>
    </row>
    <row r="10" spans="2:15" s="13" customFormat="1" ht="15.75" customHeight="1">
      <c r="B10" s="1118"/>
      <c r="C10" s="61" t="s">
        <v>175</v>
      </c>
      <c r="D10" s="646">
        <v>14777</v>
      </c>
      <c r="E10" s="646">
        <v>91524.5</v>
      </c>
      <c r="F10" s="647">
        <v>61.937132029505307</v>
      </c>
      <c r="G10" s="47"/>
      <c r="H10" s="57"/>
      <c r="I10" s="52"/>
      <c r="J10" s="55"/>
      <c r="K10" s="50"/>
      <c r="L10" s="54"/>
      <c r="M10" s="55"/>
    </row>
    <row r="11" spans="2:15" s="13" customFormat="1" ht="15.75" customHeight="1">
      <c r="B11" s="1118"/>
      <c r="C11" s="61" t="s">
        <v>461</v>
      </c>
      <c r="D11" s="646">
        <v>31524</v>
      </c>
      <c r="E11" s="646">
        <v>184954.8</v>
      </c>
      <c r="F11" s="647">
        <v>58.671107727445751</v>
      </c>
      <c r="G11" s="47"/>
      <c r="H11" s="57"/>
      <c r="I11" s="52"/>
      <c r="J11" s="55"/>
      <c r="K11" s="50"/>
      <c r="L11" s="54"/>
      <c r="M11" s="55"/>
    </row>
    <row r="12" spans="2:15" s="13" customFormat="1" ht="15.75" customHeight="1">
      <c r="B12" s="1118"/>
      <c r="C12" s="61" t="s">
        <v>176</v>
      </c>
      <c r="D12" s="646">
        <v>19781</v>
      </c>
      <c r="E12" s="646">
        <v>11959.1</v>
      </c>
      <c r="F12" s="647">
        <v>6.0457509731560588</v>
      </c>
      <c r="G12" s="47"/>
      <c r="H12" s="57"/>
      <c r="I12" s="52"/>
      <c r="J12" s="55"/>
      <c r="K12" s="50"/>
      <c r="L12" s="54"/>
      <c r="M12" s="55"/>
    </row>
    <row r="13" spans="2:15" s="13" customFormat="1" ht="15.75" customHeight="1">
      <c r="B13" s="1118"/>
      <c r="C13" s="61" t="s">
        <v>177</v>
      </c>
      <c r="D13" s="646">
        <v>101690</v>
      </c>
      <c r="E13" s="646">
        <v>594002.1</v>
      </c>
      <c r="F13" s="647">
        <v>58.413029796440156</v>
      </c>
      <c r="G13" s="47"/>
      <c r="H13" s="57"/>
      <c r="I13" s="52"/>
      <c r="J13" s="55"/>
      <c r="K13" s="50"/>
      <c r="L13" s="54"/>
      <c r="M13" s="55"/>
    </row>
    <row r="14" spans="2:15" s="13" customFormat="1" ht="15.75" customHeight="1">
      <c r="B14" s="1118"/>
      <c r="C14" s="61" t="s">
        <v>365</v>
      </c>
      <c r="D14" s="646">
        <v>9935</v>
      </c>
      <c r="E14" s="646">
        <v>80104</v>
      </c>
      <c r="F14" s="647">
        <v>80.62808253648717</v>
      </c>
      <c r="G14" s="47"/>
      <c r="H14" s="57"/>
      <c r="I14" s="52"/>
      <c r="J14" s="49"/>
      <c r="K14" s="50"/>
      <c r="L14" s="163"/>
      <c r="M14" s="49"/>
      <c r="N14" s="164"/>
      <c r="O14" s="164"/>
    </row>
    <row r="15" spans="2:15" s="13" customFormat="1" ht="15.75" customHeight="1">
      <c r="B15" s="1118"/>
      <c r="C15" s="61" t="s">
        <v>366</v>
      </c>
      <c r="D15" s="646">
        <v>12385</v>
      </c>
      <c r="E15" s="646">
        <v>109807.5</v>
      </c>
      <c r="F15" s="647">
        <v>88.661687525232139</v>
      </c>
      <c r="G15" s="47"/>
      <c r="H15" s="57"/>
      <c r="I15" s="52"/>
      <c r="J15" s="49"/>
      <c r="K15" s="50"/>
      <c r="L15" s="163"/>
      <c r="M15" s="49"/>
      <c r="N15" s="164"/>
      <c r="O15" s="164"/>
    </row>
    <row r="16" spans="2:15" s="13" customFormat="1" ht="15.75" customHeight="1">
      <c r="B16" s="1118"/>
      <c r="C16" s="61" t="s">
        <v>44</v>
      </c>
      <c r="D16" s="646">
        <v>46</v>
      </c>
      <c r="E16" s="646">
        <v>117.8</v>
      </c>
      <c r="F16" s="647">
        <v>25.608695652173914</v>
      </c>
      <c r="G16" s="47"/>
      <c r="H16" s="57"/>
      <c r="I16" s="52"/>
      <c r="J16" s="49"/>
      <c r="K16" s="50"/>
      <c r="L16" s="163"/>
      <c r="M16" s="49"/>
      <c r="N16" s="164"/>
      <c r="O16" s="164"/>
    </row>
    <row r="17" spans="2:15" s="13" customFormat="1" ht="15.75" customHeight="1">
      <c r="B17" s="1118"/>
      <c r="C17" s="61" t="s">
        <v>7</v>
      </c>
      <c r="D17" s="646">
        <v>195403</v>
      </c>
      <c r="E17" s="646">
        <v>1204856.2</v>
      </c>
      <c r="F17" s="647">
        <v>61.660066631525616</v>
      </c>
      <c r="G17" s="47"/>
      <c r="H17" s="57"/>
      <c r="I17" s="52"/>
      <c r="J17" s="55"/>
      <c r="K17" s="50"/>
      <c r="L17" s="163"/>
      <c r="M17" s="55"/>
      <c r="N17" s="164"/>
      <c r="O17" s="164"/>
    </row>
    <row r="18" spans="2:15" ht="15.75" customHeight="1">
      <c r="B18" s="1119" t="s">
        <v>616</v>
      </c>
      <c r="C18" s="61" t="s">
        <v>172</v>
      </c>
      <c r="D18" s="646">
        <v>1589</v>
      </c>
      <c r="E18" s="646">
        <v>418.7</v>
      </c>
      <c r="F18" s="646">
        <f t="shared" ref="F18:F28" si="0">E18*10/D18</f>
        <v>2.6349905601006922</v>
      </c>
      <c r="G18" s="47"/>
      <c r="H18" s="103"/>
      <c r="I18" s="850"/>
      <c r="J18" s="161"/>
      <c r="K18" s="166"/>
      <c r="L18" s="163"/>
      <c r="M18" s="55"/>
      <c r="N18" s="165"/>
      <c r="O18" s="165"/>
    </row>
    <row r="19" spans="2:15" ht="15.75" customHeight="1">
      <c r="B19" s="1119"/>
      <c r="C19" s="61" t="s">
        <v>204</v>
      </c>
      <c r="D19" s="646">
        <v>1642</v>
      </c>
      <c r="E19" s="646">
        <v>2147.8000000000002</v>
      </c>
      <c r="F19" s="646">
        <f t="shared" si="0"/>
        <v>13.080389768574909</v>
      </c>
      <c r="G19" s="47"/>
      <c r="H19" s="103"/>
      <c r="I19" s="850"/>
      <c r="J19" s="161"/>
      <c r="K19" s="166"/>
      <c r="L19" s="163"/>
      <c r="M19" s="55"/>
      <c r="N19" s="165"/>
      <c r="O19" s="165"/>
    </row>
    <row r="20" spans="2:15" ht="15.75" customHeight="1">
      <c r="B20" s="1119"/>
      <c r="C20" s="61" t="s">
        <v>205</v>
      </c>
      <c r="D20" s="646">
        <v>4802</v>
      </c>
      <c r="E20" s="646">
        <v>16472.3</v>
      </c>
      <c r="F20" s="646">
        <f t="shared" si="0"/>
        <v>34.302998750520615</v>
      </c>
      <c r="G20" s="47"/>
      <c r="H20" s="103"/>
      <c r="I20" s="850"/>
      <c r="J20" s="161"/>
      <c r="K20" s="166"/>
      <c r="L20" s="163"/>
      <c r="M20" s="55"/>
      <c r="N20" s="165"/>
      <c r="O20" s="165"/>
    </row>
    <row r="21" spans="2:15" ht="15.75" customHeight="1">
      <c r="B21" s="1119"/>
      <c r="C21" s="61" t="s">
        <v>175</v>
      </c>
      <c r="D21" s="646">
        <v>18240</v>
      </c>
      <c r="E21" s="646">
        <v>104422.8</v>
      </c>
      <c r="F21" s="646">
        <f t="shared" si="0"/>
        <v>57.24934210526316</v>
      </c>
      <c r="G21" s="47"/>
      <c r="H21" s="103"/>
      <c r="I21" s="850"/>
      <c r="J21" s="161"/>
      <c r="K21" s="166"/>
      <c r="L21" s="163"/>
      <c r="M21" s="55"/>
      <c r="N21" s="165"/>
      <c r="O21" s="165"/>
    </row>
    <row r="22" spans="2:15" ht="15.75" customHeight="1">
      <c r="B22" s="1119"/>
      <c r="C22" s="61" t="s">
        <v>461</v>
      </c>
      <c r="D22" s="646">
        <v>31085</v>
      </c>
      <c r="E22" s="646">
        <v>154283.5</v>
      </c>
      <c r="F22" s="646">
        <f t="shared" si="0"/>
        <v>49.632781084124176</v>
      </c>
      <c r="G22" s="47"/>
      <c r="H22" s="103"/>
      <c r="I22" s="850"/>
      <c r="J22" s="161"/>
      <c r="K22" s="166"/>
      <c r="L22" s="163"/>
      <c r="M22" s="55"/>
      <c r="N22" s="165"/>
      <c r="O22" s="165"/>
    </row>
    <row r="23" spans="2:15" ht="15.75" customHeight="1">
      <c r="B23" s="1119"/>
      <c r="C23" s="61" t="s">
        <v>176</v>
      </c>
      <c r="D23" s="646">
        <v>22218</v>
      </c>
      <c r="E23" s="646">
        <v>153108.6</v>
      </c>
      <c r="F23" s="646">
        <f t="shared" si="0"/>
        <v>68.911963273021868</v>
      </c>
      <c r="G23" s="47"/>
      <c r="H23" s="103"/>
      <c r="I23" s="850"/>
      <c r="J23" s="573"/>
      <c r="K23" s="166"/>
      <c r="L23" s="163"/>
      <c r="M23" s="55"/>
      <c r="N23" s="165"/>
      <c r="O23" s="165"/>
    </row>
    <row r="24" spans="2:15" ht="15.75" customHeight="1">
      <c r="B24" s="1119"/>
      <c r="C24" s="61" t="s">
        <v>177</v>
      </c>
      <c r="D24" s="646">
        <v>82333</v>
      </c>
      <c r="E24" s="646">
        <v>474530.7</v>
      </c>
      <c r="F24" s="646">
        <f t="shared" si="0"/>
        <v>57.635541034579084</v>
      </c>
      <c r="G24" s="47"/>
      <c r="H24" s="103"/>
      <c r="I24" s="850"/>
      <c r="J24" s="161"/>
      <c r="K24" s="166"/>
      <c r="L24" s="163"/>
      <c r="M24" s="55"/>
      <c r="N24" s="165"/>
      <c r="O24" s="165"/>
    </row>
    <row r="25" spans="2:15" ht="15.75" customHeight="1">
      <c r="B25" s="1119"/>
      <c r="C25" s="61" t="s">
        <v>365</v>
      </c>
      <c r="D25" s="646">
        <v>10398</v>
      </c>
      <c r="E25" s="646">
        <v>89180.9</v>
      </c>
      <c r="F25" s="646">
        <f t="shared" si="0"/>
        <v>85.767359107520676</v>
      </c>
      <c r="G25" s="47"/>
      <c r="H25" s="103"/>
      <c r="I25" s="850"/>
      <c r="J25" s="161"/>
      <c r="K25" s="156"/>
      <c r="L25" s="54"/>
      <c r="M25" s="55"/>
    </row>
    <row r="26" spans="2:15" ht="15.75" customHeight="1">
      <c r="B26" s="1119"/>
      <c r="C26" s="61" t="s">
        <v>366</v>
      </c>
      <c r="D26" s="646">
        <v>10720</v>
      </c>
      <c r="E26" s="646">
        <v>91457</v>
      </c>
      <c r="F26" s="646">
        <f t="shared" si="0"/>
        <v>85.314365671641795</v>
      </c>
      <c r="G26" s="47"/>
      <c r="H26" s="103"/>
      <c r="I26" s="850"/>
      <c r="J26" s="572"/>
      <c r="K26" s="156"/>
      <c r="L26" s="54"/>
      <c r="M26" s="55"/>
    </row>
    <row r="27" spans="2:15" ht="15.75" customHeight="1">
      <c r="B27" s="1119"/>
      <c r="C27" s="61" t="s">
        <v>44</v>
      </c>
      <c r="D27" s="646">
        <v>46</v>
      </c>
      <c r="E27" s="646">
        <v>117.8</v>
      </c>
      <c r="F27" s="646">
        <f t="shared" si="0"/>
        <v>25.608695652173914</v>
      </c>
      <c r="G27" s="47"/>
      <c r="H27" s="103"/>
      <c r="I27" s="850"/>
      <c r="J27" s="161"/>
      <c r="K27" s="156"/>
      <c r="L27" s="54"/>
      <c r="M27" s="55"/>
    </row>
    <row r="28" spans="2:15" ht="15.75" customHeight="1">
      <c r="B28" s="1119"/>
      <c r="C28" s="61" t="s">
        <v>7</v>
      </c>
      <c r="D28" s="646">
        <v>183073</v>
      </c>
      <c r="E28" s="646">
        <v>1086140.1000000001</v>
      </c>
      <c r="F28" s="646">
        <f t="shared" si="0"/>
        <v>59.328251571777379</v>
      </c>
      <c r="G28" s="47"/>
      <c r="H28" s="103"/>
      <c r="I28" s="850"/>
      <c r="J28" s="161"/>
      <c r="K28" s="574"/>
      <c r="L28" s="54"/>
      <c r="M28" s="55"/>
    </row>
    <row r="29" spans="2:15" ht="38.450000000000003" customHeight="1">
      <c r="B29" s="1112" t="s">
        <v>623</v>
      </c>
      <c r="C29" s="1113"/>
      <c r="D29" s="1113"/>
      <c r="E29" s="1113"/>
      <c r="F29" s="1114"/>
      <c r="G29" s="47"/>
      <c r="H29" s="57"/>
      <c r="I29" s="156"/>
      <c r="J29" s="161"/>
      <c r="K29" s="50"/>
      <c r="L29" s="54"/>
      <c r="M29" s="55"/>
    </row>
    <row r="30" spans="2:15" ht="15" customHeight="1">
      <c r="K30" s="152"/>
    </row>
    <row r="33" spans="4:4" ht="18">
      <c r="D33" s="575"/>
    </row>
    <row r="34" spans="4:4">
      <c r="D34" s="634"/>
    </row>
    <row r="52" spans="1:12">
      <c r="I52" s="13"/>
      <c r="J52" s="13"/>
      <c r="K52" s="13"/>
      <c r="L52" s="13"/>
    </row>
    <row r="53" spans="1:12" ht="30" customHeight="1">
      <c r="A53" s="220"/>
      <c r="H53" s="220"/>
      <c r="I53" s="13"/>
      <c r="J53" s="13"/>
      <c r="K53" s="13"/>
      <c r="L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V46"/>
  <sheetViews>
    <sheetView zoomScaleNormal="100" zoomScaleSheetLayoutView="50" workbookViewId="0">
      <selection activeCell="J14" sqref="J14"/>
    </sheetView>
  </sheetViews>
  <sheetFormatPr baseColWidth="10" defaultColWidth="10.90625" defaultRowHeight="12.75"/>
  <cols>
    <col min="1" max="1" width="1.90625" style="13" customWidth="1"/>
    <col min="2" max="2" width="8.6328125" style="13" customWidth="1"/>
    <col min="3" max="6" width="11.81640625" style="13" customWidth="1"/>
    <col min="7" max="7" width="2.54296875" style="13" customWidth="1"/>
    <col min="8" max="10" width="4.08984375" style="153" customWidth="1"/>
    <col min="11" max="16384" width="10.90625" style="153"/>
  </cols>
  <sheetData>
    <row r="1" spans="2:22" s="29" customFormat="1" ht="15" customHeight="1">
      <c r="B1" s="1107" t="s">
        <v>37</v>
      </c>
      <c r="C1" s="1107"/>
      <c r="D1" s="1107"/>
      <c r="E1" s="1107"/>
      <c r="F1" s="1107"/>
    </row>
    <row r="2" spans="2:22" s="29" customFormat="1" ht="15" customHeight="1">
      <c r="B2" s="30"/>
      <c r="C2" s="30"/>
      <c r="D2" s="30"/>
      <c r="E2" s="30"/>
      <c r="F2" s="30"/>
    </row>
    <row r="3" spans="2:22" s="29" customFormat="1" ht="31.5" customHeight="1">
      <c r="B3" s="1115" t="s">
        <v>621</v>
      </c>
      <c r="C3" s="1116"/>
      <c r="D3" s="1116"/>
      <c r="E3" s="1116"/>
      <c r="F3" s="1116"/>
    </row>
    <row r="4" spans="2:22" s="29" customFormat="1" ht="15.75" customHeight="1">
      <c r="B4" s="1116" t="s">
        <v>546</v>
      </c>
      <c r="C4" s="1116"/>
      <c r="D4" s="1116"/>
      <c r="E4" s="1116"/>
      <c r="F4" s="1116"/>
    </row>
    <row r="5" spans="2:22" s="29" customFormat="1" ht="43.5" customHeight="1">
      <c r="B5" s="558" t="s">
        <v>11</v>
      </c>
      <c r="C5" s="558" t="s">
        <v>12</v>
      </c>
      <c r="D5" s="559" t="s">
        <v>32</v>
      </c>
      <c r="E5" s="559" t="s">
        <v>30</v>
      </c>
      <c r="F5" s="559" t="s">
        <v>612</v>
      </c>
    </row>
    <row r="6" spans="2:22" s="13" customFormat="1" ht="15.75" customHeight="1">
      <c r="B6" s="1120" t="s">
        <v>477</v>
      </c>
      <c r="C6" s="13" t="s">
        <v>172</v>
      </c>
      <c r="D6" s="646">
        <v>163</v>
      </c>
      <c r="E6" s="646">
        <v>290.89999999999998</v>
      </c>
      <c r="F6" s="647">
        <v>17.846625766871163</v>
      </c>
      <c r="H6" s="168"/>
      <c r="I6" s="169"/>
      <c r="J6" s="164"/>
      <c r="K6" s="164"/>
      <c r="L6" s="164"/>
      <c r="M6" s="164"/>
      <c r="N6" s="164"/>
      <c r="O6" s="164"/>
      <c r="P6" s="164"/>
      <c r="Q6" s="164"/>
      <c r="R6" s="164"/>
    </row>
    <row r="7" spans="2:22" s="13" customFormat="1" ht="15.75" customHeight="1">
      <c r="B7" s="1120"/>
      <c r="C7" s="61" t="s">
        <v>204</v>
      </c>
      <c r="D7" s="646">
        <v>2861</v>
      </c>
      <c r="E7" s="646">
        <v>17902.5</v>
      </c>
      <c r="F7" s="647">
        <v>62.574274729115693</v>
      </c>
      <c r="H7" s="168"/>
      <c r="I7" s="169"/>
      <c r="J7" s="164"/>
      <c r="K7" s="164"/>
      <c r="L7" s="164"/>
      <c r="M7" s="164"/>
      <c r="N7" s="164"/>
      <c r="O7" s="164"/>
      <c r="P7" s="164"/>
      <c r="Q7" s="164"/>
      <c r="R7" s="164"/>
    </row>
    <row r="8" spans="2:22" s="13" customFormat="1" ht="15.75" customHeight="1">
      <c r="B8" s="1120"/>
      <c r="C8" s="61" t="s">
        <v>205</v>
      </c>
      <c r="D8" s="646">
        <v>3640</v>
      </c>
      <c r="E8" s="646">
        <v>22339</v>
      </c>
      <c r="F8" s="647">
        <v>61.370879120879124</v>
      </c>
      <c r="H8" s="168"/>
      <c r="I8" s="169"/>
      <c r="J8" s="164"/>
      <c r="K8" s="164"/>
      <c r="L8" s="164"/>
      <c r="M8" s="164"/>
      <c r="N8" s="164"/>
      <c r="O8" s="164"/>
      <c r="P8" s="164"/>
      <c r="Q8" s="164"/>
      <c r="R8" s="164"/>
    </row>
    <row r="9" spans="2:22" ht="15.75" customHeight="1">
      <c r="B9" s="1120"/>
      <c r="C9" s="61" t="s">
        <v>175</v>
      </c>
      <c r="D9" s="646">
        <v>7133</v>
      </c>
      <c r="E9" s="646">
        <v>51349.3</v>
      </c>
      <c r="F9" s="647">
        <v>71.988363942240298</v>
      </c>
      <c r="H9" s="163"/>
      <c r="I9" s="159"/>
      <c r="J9" s="165"/>
      <c r="K9" s="165"/>
      <c r="L9" s="165"/>
      <c r="M9" s="165"/>
      <c r="N9" s="165"/>
      <c r="O9" s="165"/>
      <c r="P9" s="165"/>
      <c r="Q9" s="165"/>
      <c r="R9" s="165"/>
    </row>
    <row r="10" spans="2:22" ht="15.75" customHeight="1">
      <c r="B10" s="1120"/>
      <c r="C10" s="61" t="s">
        <v>461</v>
      </c>
      <c r="D10" s="646">
        <v>5613</v>
      </c>
      <c r="E10" s="646">
        <v>41549.1</v>
      </c>
      <c r="F10" s="647">
        <v>74.022982362373057</v>
      </c>
      <c r="H10" s="163"/>
      <c r="I10" s="159"/>
      <c r="J10" s="165"/>
      <c r="K10" s="165"/>
      <c r="L10" s="166"/>
      <c r="M10" s="166"/>
      <c r="N10" s="166"/>
      <c r="O10" s="166"/>
      <c r="P10" s="166"/>
      <c r="Q10" s="166"/>
      <c r="R10" s="166"/>
      <c r="S10" s="156"/>
      <c r="T10" s="156"/>
      <c r="U10" s="156"/>
      <c r="V10" s="156"/>
    </row>
    <row r="11" spans="2:22" ht="15.75" customHeight="1">
      <c r="B11" s="1120"/>
      <c r="C11" s="61" t="s">
        <v>176</v>
      </c>
      <c r="D11" s="646">
        <v>6321</v>
      </c>
      <c r="E11" s="646">
        <v>49167.1</v>
      </c>
      <c r="F11" s="647">
        <v>77.783736750514151</v>
      </c>
      <c r="H11" s="163"/>
      <c r="I11" s="159"/>
      <c r="J11" s="165"/>
      <c r="K11" s="170"/>
      <c r="L11" s="162"/>
      <c r="M11" s="161"/>
      <c r="N11" s="161"/>
      <c r="O11" s="161"/>
      <c r="P11" s="161"/>
      <c r="Q11" s="161"/>
      <c r="R11" s="161"/>
      <c r="S11" s="157"/>
      <c r="T11" s="157"/>
      <c r="U11" s="157"/>
      <c r="V11" s="157"/>
    </row>
    <row r="12" spans="2:22" ht="15.75" customHeight="1">
      <c r="B12" s="1120"/>
      <c r="C12" s="61" t="s">
        <v>177</v>
      </c>
      <c r="D12" s="646">
        <v>1571</v>
      </c>
      <c r="E12" s="646">
        <v>12464.9</v>
      </c>
      <c r="F12" s="647">
        <v>79.343730108211332</v>
      </c>
      <c r="H12" s="163"/>
      <c r="I12" s="159"/>
      <c r="J12" s="165"/>
      <c r="K12" s="170"/>
      <c r="L12" s="162"/>
      <c r="M12" s="161"/>
      <c r="N12" s="161"/>
      <c r="O12" s="161"/>
      <c r="P12" s="161"/>
      <c r="Q12" s="161"/>
      <c r="R12" s="161"/>
      <c r="S12" s="157"/>
      <c r="T12" s="157"/>
      <c r="U12" s="157"/>
      <c r="V12" s="157"/>
    </row>
    <row r="13" spans="2:22" ht="15.75" customHeight="1">
      <c r="B13" s="1121"/>
      <c r="C13" s="61" t="s">
        <v>7</v>
      </c>
      <c r="D13" s="646">
        <v>27302</v>
      </c>
      <c r="E13" s="646">
        <v>195062.8</v>
      </c>
      <c r="F13" s="647">
        <v>71.446340927404577</v>
      </c>
      <c r="G13" s="47"/>
      <c r="H13" s="163"/>
      <c r="I13" s="159"/>
      <c r="J13" s="165"/>
      <c r="K13" s="165"/>
      <c r="L13" s="165"/>
      <c r="M13" s="165"/>
      <c r="N13" s="165"/>
      <c r="O13" s="165"/>
      <c r="P13" s="165"/>
      <c r="Q13" s="165"/>
      <c r="R13" s="165"/>
    </row>
    <row r="14" spans="2:22" ht="15.75" customHeight="1">
      <c r="B14" s="1120" t="s">
        <v>616</v>
      </c>
      <c r="C14" s="61" t="s">
        <v>172</v>
      </c>
      <c r="D14" s="646">
        <v>93</v>
      </c>
      <c r="E14" s="646">
        <f>1897/10</f>
        <v>189.7</v>
      </c>
      <c r="F14" s="647">
        <f t="shared" ref="F14:F21" si="0">E14*10/D14</f>
        <v>20.397849462365592</v>
      </c>
      <c r="G14" s="97"/>
      <c r="H14" s="176"/>
      <c r="I14" s="161"/>
      <c r="J14" s="161"/>
      <c r="K14" s="165"/>
      <c r="L14" s="165"/>
      <c r="M14" s="165"/>
      <c r="N14" s="165"/>
      <c r="O14" s="165"/>
      <c r="P14" s="165"/>
      <c r="Q14" s="165"/>
      <c r="R14" s="165"/>
    </row>
    <row r="15" spans="2:22" ht="15.75" customHeight="1">
      <c r="B15" s="1120"/>
      <c r="C15" s="61" t="s">
        <v>204</v>
      </c>
      <c r="D15" s="646">
        <v>2486</v>
      </c>
      <c r="E15" s="646">
        <f>106808/10</f>
        <v>10680.8</v>
      </c>
      <c r="F15" s="647">
        <f t="shared" si="0"/>
        <v>42.963797264682221</v>
      </c>
      <c r="G15" s="97"/>
      <c r="H15" s="176"/>
      <c r="I15" s="161"/>
      <c r="J15" s="161"/>
      <c r="K15" s="165"/>
      <c r="L15" s="165"/>
      <c r="M15" s="165"/>
      <c r="N15" s="165"/>
      <c r="O15" s="165"/>
      <c r="P15" s="165"/>
      <c r="Q15" s="165"/>
      <c r="R15" s="165"/>
    </row>
    <row r="16" spans="2:22" ht="15.75" customHeight="1">
      <c r="B16" s="1120"/>
      <c r="C16" s="61" t="s">
        <v>205</v>
      </c>
      <c r="D16" s="646">
        <v>3992</v>
      </c>
      <c r="E16" s="646">
        <f>226347/10</f>
        <v>22634.7</v>
      </c>
      <c r="F16" s="647">
        <f t="shared" si="0"/>
        <v>56.700150300601202</v>
      </c>
      <c r="G16" s="97"/>
      <c r="H16" s="176"/>
      <c r="I16" s="161"/>
      <c r="J16" s="161"/>
      <c r="K16" s="165"/>
      <c r="L16" s="165"/>
      <c r="M16" s="165"/>
      <c r="N16" s="165"/>
      <c r="O16" s="165"/>
      <c r="P16" s="165"/>
      <c r="Q16" s="165"/>
      <c r="R16" s="165"/>
    </row>
    <row r="17" spans="2:18" ht="15.75" customHeight="1">
      <c r="B17" s="1120"/>
      <c r="C17" s="61" t="s">
        <v>175</v>
      </c>
      <c r="D17" s="646">
        <v>4500</v>
      </c>
      <c r="E17" s="646">
        <f>31050.2</f>
        <v>31050.2</v>
      </c>
      <c r="F17" s="647">
        <f t="shared" si="0"/>
        <v>69.00044444444444</v>
      </c>
      <c r="G17" s="97"/>
      <c r="H17" s="176"/>
      <c r="I17" s="161"/>
      <c r="J17" s="161"/>
      <c r="K17" s="165"/>
      <c r="L17" s="165"/>
      <c r="M17" s="165"/>
      <c r="N17" s="165"/>
      <c r="O17" s="165"/>
      <c r="P17" s="165"/>
      <c r="Q17" s="165"/>
      <c r="R17" s="165"/>
    </row>
    <row r="18" spans="2:18" ht="15.75" customHeight="1">
      <c r="B18" s="1120"/>
      <c r="C18" s="61" t="s">
        <v>461</v>
      </c>
      <c r="D18" s="646">
        <v>4803</v>
      </c>
      <c r="E18" s="646">
        <f>329202/10</f>
        <v>32920.199999999997</v>
      </c>
      <c r="F18" s="647">
        <f t="shared" si="0"/>
        <v>68.54091193004372</v>
      </c>
      <c r="G18" s="97"/>
      <c r="H18" s="176"/>
      <c r="I18" s="161"/>
      <c r="J18" s="161"/>
      <c r="K18" s="165"/>
      <c r="L18" s="165"/>
      <c r="M18" s="165"/>
      <c r="N18" s="165"/>
      <c r="O18" s="165"/>
      <c r="P18" s="165"/>
      <c r="Q18" s="165"/>
      <c r="R18" s="165"/>
    </row>
    <row r="19" spans="2:18" ht="15.75" customHeight="1">
      <c r="B19" s="1120"/>
      <c r="C19" s="61" t="s">
        <v>176</v>
      </c>
      <c r="D19" s="646">
        <v>5527</v>
      </c>
      <c r="E19" s="646">
        <f>430914/10</f>
        <v>43091.4</v>
      </c>
      <c r="F19" s="647">
        <f t="shared" si="0"/>
        <v>77.965261443821248</v>
      </c>
      <c r="G19" s="97"/>
      <c r="H19" s="176"/>
      <c r="I19" s="161"/>
      <c r="J19" s="161"/>
      <c r="K19" s="165"/>
      <c r="L19" s="165"/>
      <c r="M19" s="165"/>
      <c r="N19" s="165"/>
      <c r="O19" s="165"/>
      <c r="P19" s="165"/>
      <c r="Q19" s="165"/>
      <c r="R19" s="165"/>
    </row>
    <row r="20" spans="2:18" ht="15.75" customHeight="1">
      <c r="B20" s="1120"/>
      <c r="C20" s="61" t="s">
        <v>177</v>
      </c>
      <c r="D20" s="646">
        <v>562</v>
      </c>
      <c r="E20" s="646">
        <f>42813/10</f>
        <v>4281.3</v>
      </c>
      <c r="F20" s="647">
        <f t="shared" si="0"/>
        <v>76.179715302491104</v>
      </c>
      <c r="G20" s="97"/>
      <c r="H20" s="176"/>
      <c r="I20" s="161"/>
      <c r="J20" s="161"/>
      <c r="K20" s="165"/>
      <c r="L20" s="165"/>
      <c r="M20" s="165"/>
      <c r="N20" s="165"/>
      <c r="O20" s="165"/>
      <c r="P20" s="165"/>
      <c r="Q20" s="165"/>
      <c r="R20" s="165"/>
    </row>
    <row r="21" spans="2:18" ht="15.75" customHeight="1">
      <c r="B21" s="1121"/>
      <c r="C21" s="61" t="s">
        <v>7</v>
      </c>
      <c r="D21" s="646">
        <v>21963</v>
      </c>
      <c r="E21" s="646">
        <f>SUM(E14:E20)</f>
        <v>144848.29999999999</v>
      </c>
      <c r="F21" s="647">
        <f t="shared" si="0"/>
        <v>65.95105404544006</v>
      </c>
      <c r="G21" s="97"/>
      <c r="H21" s="176"/>
      <c r="I21" s="176"/>
      <c r="J21" s="176"/>
      <c r="K21" s="74"/>
      <c r="L21" s="50"/>
      <c r="M21" s="163"/>
      <c r="N21" s="55"/>
      <c r="O21" s="165"/>
      <c r="P21" s="165"/>
      <c r="Q21" s="165"/>
      <c r="R21" s="165"/>
    </row>
    <row r="22" spans="2:18" ht="36.75" customHeight="1">
      <c r="B22" s="1112" t="s">
        <v>624</v>
      </c>
      <c r="C22" s="1122"/>
      <c r="D22" s="1122"/>
      <c r="E22" s="1122"/>
      <c r="F22" s="1123"/>
      <c r="G22" s="97"/>
      <c r="H22" s="158"/>
      <c r="I22" s="159"/>
      <c r="J22" s="100"/>
      <c r="K22" s="50"/>
      <c r="L22" s="50"/>
      <c r="M22" s="163"/>
      <c r="N22" s="55"/>
      <c r="O22" s="165"/>
      <c r="P22" s="165"/>
      <c r="Q22" s="165"/>
      <c r="R22" s="165"/>
    </row>
    <row r="23" spans="2:18" ht="24" customHeight="1"/>
    <row r="45" spans="1:13">
      <c r="H45" s="13"/>
      <c r="I45" s="13"/>
      <c r="J45" s="13"/>
      <c r="K45" s="13"/>
      <c r="L45" s="13"/>
      <c r="M45" s="13"/>
    </row>
    <row r="46" spans="1:13" ht="30" customHeight="1">
      <c r="A46" s="220"/>
      <c r="H46" s="220"/>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095b0fff-259e-4803-89dd-5265f121ae21"/>
    <ds:schemaRef ds:uri="http://purl.org/dc/terms/"/>
    <ds:schemaRef ds:uri="http://purl.org/dc/dcmitype/"/>
    <ds:schemaRef ds:uri="6a60f5a6-b39c-425c-984f-bf63bb01288b"/>
    <ds:schemaRef ds:uri="http://schemas.microsoft.com/office/2006/metadata/properties"/>
  </ds:schemaRefs>
</ds:datastoreItem>
</file>

<file path=customXml/itemProps2.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101</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2021-03-10T18:52:30Z</cp:lastPrinted>
  <dcterms:created xsi:type="dcterms:W3CDTF">2008-12-10T19:16:04Z</dcterms:created>
  <dcterms:modified xsi:type="dcterms:W3CDTF">2021-03-11T19:51:48Z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