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4000" windowHeight="10950"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 r:id="rId21"/>
    <externalReference r:id="rId22"/>
  </externalReferences>
  <definedNames>
    <definedName name="_xlfn.AVERAGEIF" hidden="1">#NAME?</definedName>
    <definedName name="_xlfn.STDEV.S" hidden="1">#NAME?</definedName>
    <definedName name="_xlnm.Print_Area" localSheetId="1">'colofón'!$A$1:$I$44</definedName>
    <definedName name="_xlnm.Print_Area" localSheetId="4">'Comentarios'!$B$2:$J$8</definedName>
    <definedName name="_xlnm.Print_Area" localSheetId="15">'export'!$B$2:$K$43</definedName>
    <definedName name="_xlnm.Print_Area" localSheetId="14">'Ficha de Costos'!$B$2:$E$34</definedName>
    <definedName name="_xlnm.Print_Area" localSheetId="16">'import'!$B$2:$K$103</definedName>
    <definedName name="_xlnm.Print_Area" localSheetId="3">'Índice'!$A$1:$E$46</definedName>
    <definedName name="_xlnm.Print_Area" localSheetId="2">'Introducción'!$A$1:$J$44</definedName>
    <definedName name="_xlnm.Print_Area" localSheetId="0">'Portada'!$A$1:$I$44</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minorista'!$B$2:$K$45</definedName>
    <definedName name="_xlnm.Print_Area" localSheetId="9">'precio minorista regiones'!$B$2:$R$57</definedName>
    <definedName name="_xlnm.Print_Area" localSheetId="12">'prod región'!$B$2:$L$48</definedName>
    <definedName name="_xlnm.Print_Area" localSheetId="13">'rend región'!$B$2:$L$46</definedName>
    <definedName name="_xlnm.Print_Area" localSheetId="11">'sup región'!$B$2:$L$46</definedName>
    <definedName name="_xlnm.Print_Area" localSheetId="10">'sup, prod y rend'!$B$2:$G$50</definedName>
    <definedName name="TDclase">'[1]TD clase'!$A$5:$G$6</definedName>
  </definedNames>
  <calcPr fullCalcOnLoad="1"/>
</workbook>
</file>

<file path=xl/sharedStrings.xml><?xml version="1.0" encoding="utf-8"?>
<sst xmlns="http://schemas.openxmlformats.org/spreadsheetml/2006/main" count="692" uniqueCount="278">
  <si>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</si>
  <si>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</si>
  <si>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</si>
  <si>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</si>
  <si>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</si>
  <si>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</si>
  <si>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</si>
  <si>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</si>
  <si>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</si>
  <si>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</si>
  <si>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</si>
  <si>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</si>
  <si>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</si>
  <si>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</si>
  <si>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</si>
  <si>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</si>
  <si>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</si>
  <si>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</si>
  <si>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</si>
  <si>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</si>
  <si>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</si>
  <si>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</si>
  <si>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</si>
  <si>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</si>
  <si>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</si>
  <si>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</si>
  <si>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</si>
  <si>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</si>
  <si>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</si>
  <si>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</si>
  <si>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</si>
  <si>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</si>
  <si>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</si>
  <si>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</si>
  <si>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</si>
  <si>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</si>
  <si>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</si>
  <si>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</si>
  <si>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</si>
  <si>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</si>
  <si>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</si>
  <si>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</si>
  <si>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</si>
  <si>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</si>
  <si>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</si>
  <si>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</si>
  <si>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</si>
  <si>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</si>
  <si>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</si>
  <si>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</si>
  <si>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</si>
  <si>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</si>
  <si>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</si>
  <si>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</si>
  <si>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</si>
  <si>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</si>
  <si>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</si>
  <si>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</si>
  <si>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</si>
  <si>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</si>
  <si>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</si>
  <si>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</si>
  <si>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</si>
  <si>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</si>
  <si>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</si>
  <si>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</si>
  <si>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</si>
  <si>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</si>
  <si>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</si>
  <si>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</si>
  <si>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</si>
  <si>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</si>
  <si>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</si>
  <si>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</si>
  <si>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</si>
  <si>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</si>
  <si>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</si>
  <si>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</si>
  <si>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</si>
  <si>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</si>
  <si>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</si>
  <si>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</si>
  <si>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</si>
  <si>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</si>
  <si>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</si>
  <si>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</si>
  <si>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</si>
  <si>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</si>
  <si>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</si>
  <si>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</si>
  <si>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</si>
  <si>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</si>
  <si>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</si>
  <si>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</si>
  <si>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</si>
  <si>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</si>
  <si>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</si>
  <si>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</si>
  <si>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</si>
  <si>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</si>
  <si>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</si>
  <si>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</si>
  <si>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</si>
  <si>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</si>
  <si>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</si>
  <si>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</si>
  <si>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</si>
  <si>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</si>
  <si>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</si>
  <si>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</si>
  <si>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</si>
  <si>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</si>
  <si>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</si>
  <si>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</si>
  <si>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</si>
  <si>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</si>
  <si>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</si>
  <si>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</si>
  <si>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</si>
  <si>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</si>
  <si>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</si>
  <si>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</si>
  <si>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</si>
  <si>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</si>
  <si>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</si>
  <si>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</si>
  <si>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</si>
  <si>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</si>
  <si>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</si>
  <si>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</si>
  <si>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</si>
  <si>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</si>
  <si>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</si>
  <si>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</si>
  <si>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</si>
  <si>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</si>
  <si>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</si>
  <si>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</si>
  <si>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</si>
  <si>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</si>
  <si>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</si>
  <si>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</si>
  <si>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</si>
  <si>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</si>
  <si>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</si>
  <si>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</si>
  <si>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</si>
  <si>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</si>
  <si>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</si>
  <si>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</si>
  <si>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</si>
  <si>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</si>
  <si>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</si>
  <si>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</si>
  <si>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</si>
  <si>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</si>
  <si>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</si>
  <si>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</si>
  <si>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</si>
  <si>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</si>
  <si>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</si>
  <si>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</si>
  <si>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</si>
  <si>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</si>
  <si>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</si>
  <si>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</si>
  <si>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</si>
  <si>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</si>
  <si>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</si>
  <si>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</si>
  <si>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</si>
  <si>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</si>
  <si>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</si>
  <si>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</si>
  <si>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</si>
  <si>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</si>
  <si>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</si>
  <si>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</si>
  <si>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</si>
  <si>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</si>
  <si>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</si>
  <si>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</si>
  <si>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</si>
  <si>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</si>
  <si>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</si>
  <si>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</si>
  <si>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Yagana</t>
  </si>
  <si>
    <t>Rusia</t>
  </si>
  <si>
    <t>Promedio</t>
  </si>
  <si>
    <r>
      <rPr>
        <i/>
        <sz val="9"/>
        <color indexed="8"/>
        <rFont val="Arial"/>
        <family val="2"/>
      </rPr>
      <t>Fuente</t>
    </r>
    <r>
      <rPr>
        <sz val="9"/>
        <color indexed="8"/>
        <rFont val="Arial"/>
        <family val="2"/>
      </rPr>
      <t>: Odepa.</t>
    </r>
  </si>
  <si>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</si>
  <si>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</si>
  <si>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</si>
  <si>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t>Este boletín se publica mensualmente, con información de mercado nacional y de comercio exterior, relacionada con la papa.</t>
  </si>
  <si>
    <t>Malasia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</si>
  <si>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</si>
  <si>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</si>
  <si>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</si>
  <si>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</si>
  <si>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</si>
  <si>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</si>
  <si>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</si>
  <si>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</si>
  <si>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</si>
  <si>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</si>
  <si>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</si>
  <si>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</si>
  <si>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</si>
  <si>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</si>
  <si>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</si>
  <si>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</si>
  <si>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</si>
  <si>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</si>
  <si>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</si>
  <si>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</si>
  <si>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Maule 
</t>
    </r>
    <r>
      <rPr>
        <sz val="10"/>
        <rFont val="Arial"/>
        <family val="2"/>
      </rPr>
      <t>Variedad Desirée
Papa Guarda</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</si>
  <si>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</si>
  <si>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</si>
  <si>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</si>
  <si>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</si>
  <si>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</si>
  <si>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</si>
  <si>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</si>
  <si>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</si>
  <si>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</si>
  <si>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</si>
  <si>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</si>
  <si>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</si>
  <si>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variacion entre FL y Super</t>
  </si>
  <si>
    <t>Precio Promedio Super</t>
  </si>
  <si>
    <t>Precio Promedio FL</t>
  </si>
  <si>
    <t>Precios promedio mensuales de papa en mercados mayoristas</t>
  </si>
  <si>
    <t>Precio diario de papa en los mercados mayoristas</t>
  </si>
  <si>
    <t>Ficha de Costos</t>
  </si>
  <si>
    <t xml:space="preserve">Cuadro 10. </t>
  </si>
  <si>
    <r>
      <t xml:space="preserve">Costos por hectárea según rendimiento esperado ($/ha) </t>
    </r>
    <r>
      <rPr>
        <b/>
        <vertAlign val="superscript"/>
        <sz val="10"/>
        <color indexed="8"/>
        <rFont val="Arial"/>
        <family val="2"/>
      </rPr>
      <t>1</t>
    </r>
  </si>
  <si>
    <t>Precio ($/kg)</t>
  </si>
  <si>
    <t>La Serena</t>
  </si>
  <si>
    <t>La Calera</t>
  </si>
  <si>
    <t>Mapocho</t>
  </si>
  <si>
    <t>Talca</t>
  </si>
  <si>
    <t>Chillán</t>
  </si>
  <si>
    <t>Concepción</t>
  </si>
  <si>
    <t>Puerto Montt</t>
  </si>
  <si>
    <t>Temuco</t>
  </si>
  <si>
    <t>2016/17*</t>
  </si>
  <si>
    <t>Holanda</t>
  </si>
  <si>
    <r>
      <t xml:space="preserve">Otros costos (indirectos + imprevistos) </t>
    </r>
    <r>
      <rPr>
        <b/>
        <vertAlign val="superscript"/>
        <sz val="10"/>
        <rFont val="Arial"/>
        <family val="2"/>
      </rPr>
      <t>2</t>
    </r>
  </si>
  <si>
    <t>(2) Costos Indirectos: corresponde al costo financiero, y equivale a 1,5% mensual simple. Tasa de interés promedio de las empresas distribuidoras de insumos. Imprevistos: corresponde al 5% del total de los costos.</t>
  </si>
  <si>
    <t xml:space="preserve">Papas para siembra  </t>
  </si>
  <si>
    <t xml:space="preserve">Total Papas para siembra  </t>
  </si>
  <si>
    <t xml:space="preserve"> </t>
  </si>
  <si>
    <t>*: la superficie corresponde la estimación de siembra nacional a octubre para la temporada. El rendimiento se estima igual a la temporada anterior.</t>
  </si>
  <si>
    <r>
      <t xml:space="preserve">3. </t>
    </r>
    <r>
      <rPr>
        <u val="single"/>
        <sz val="10"/>
        <rFont val="Arial"/>
        <family val="2"/>
      </rPr>
      <t>Superficie, producción y rendimiento</t>
    </r>
    <r>
      <rPr>
        <sz val="10"/>
        <rFont val="Arial"/>
        <family val="2"/>
      </rPr>
      <t>: se recuperan favorablemente los rendimientos y la superficie
La encuesta de INE sobre estimación de siembra de cultivos anuales para la temporada 2016/17 indica que en Chile se habrían sembrado 55.683 hectáreas de papas, lo que representa un aumento de 4,1% en la superficie nacional para la papa en comparación con la temporada 2015/16. Si se considera un rendimiento similar al de la temporada 2015/16, de 21,8 ton/ha, la producción alcanzaría esta temporada 1,2 millones de toneladas (cuadro 6 y gráfico 7).
Según la distribución regional de la superficie en 2015/16, la Región de La Araucanía presenta como siempre la mayor área de papas: 14.976 hectáreas, concentrando 28% del total de la superficie nacional encuestada. Esta región disminuyó 10,8% la superficie de papas en la temporada 2015/16, comparada con la temporada anterior. La siguieron la Región del Bío Bío, con 8.946 hectáreas (3% más que en la temporada anterior) y la Región de Los Lagos, con 10.544 hectáreas (51% más superficie que en la temporada anterior), lo que podría responder a recuperación de producción producto de la mejor temporada que la anterior, ya que la superficie en esta región se acerca a lo sembrado en la temporada 2013/14. Entre las regiones del Bío Bío y Los Lagos se concentra más de 70% del total de la superficie sembrada con papa en Chile.
En cuanto a los rendimientos en 2015/16, éstos se registran más altos en la zona sur de Chile, donde se concentra el mayor porcentaje de superficie sembrada con papas. La región de los Lagos lidera con 33,2 ton/ha de rendimiento promedio regional. En todas las regiones (a excepción de Metropolitana y O’higgins), el rendimiento es superior al registrado en la temporada anterior. Esto producto de una recuperación de los rendimientos producto de situaciones climáticas más favorables para el desarrollo del cultivo (cuadros 8 y 9).
Es importante recordar que está vigente la resolución del SAG n°3276 de 2016, la cual deroga la resolución anterior, declara el Área Libre de plagas cuarentenarias, y además actualiza las disposiciones relativas a evitar la diseminación de estas plagas cuarentenarias hacia esta área, como por ejemplo la obligatoriedad de inscribirse en la Nomina de Comerciantes del Programa Nacional de Sanidad de la Papa del SAG, para autorizar la comercialización de papas procedentes del Área Libre, y los predios productores del área. Para mayor información, revise la resolución en el siguiente enlace: https://www.leychile.cl/Navegar?idNorma=1092497.</t>
    </r>
  </si>
  <si>
    <r>
      <t>Información de mercado nacional y comercio exterior hasta enero</t>
    </r>
    <r>
      <rPr>
        <sz val="11"/>
        <color indexed="8"/>
        <rFont val="Arial"/>
        <family val="2"/>
      </rPr>
      <t xml:space="preserve"> de 2017</t>
    </r>
  </si>
  <si>
    <t>Febrero 2017</t>
  </si>
  <si>
    <t>Promedio simple a la fecha*</t>
  </si>
  <si>
    <r>
      <rPr>
        <i/>
        <sz val="10"/>
        <rFont val="Arial"/>
        <family val="2"/>
      </rPr>
      <t xml:space="preserve">Fuente: </t>
    </r>
    <r>
      <rPr>
        <sz val="10"/>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</si>
  <si>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10"/>
        <rFont val="Arial"/>
        <family val="2"/>
      </rPr>
      <t>Fuente</t>
    </r>
    <r>
      <rPr>
        <sz val="10"/>
        <rFont val="Arial"/>
        <family val="2"/>
      </rPr>
      <t>: 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 : Precio promedio ponderado por volumen.</t>
    </r>
  </si>
  <si>
    <r>
      <rPr>
        <i/>
        <sz val="10"/>
        <rFont val="Arial"/>
        <family val="2"/>
      </rPr>
      <t>Fuente</t>
    </r>
    <r>
      <rPr>
        <sz val="10"/>
        <rFont val="Arial"/>
        <family val="2"/>
      </rPr>
      <t xml:space="preserve">: elaborado por Odepa con información del INE. </t>
    </r>
  </si>
  <si>
    <r>
      <rPr>
        <i/>
        <sz val="10"/>
        <rFont val="Arial"/>
        <family val="2"/>
      </rPr>
      <t>Fuente</t>
    </r>
    <r>
      <rPr>
        <sz val="10"/>
        <rFont val="Arial"/>
        <family val="2"/>
      </rPr>
      <t>: elaborado por Odepa con información del INE.</t>
    </r>
  </si>
  <si>
    <r>
      <t xml:space="preserve">Fuente: </t>
    </r>
    <r>
      <rPr>
        <sz val="10"/>
        <rFont val="Arial"/>
        <family val="2"/>
      </rPr>
      <t>elaborado por Odepa con información del INE.</t>
    </r>
  </si>
  <si>
    <r>
      <t xml:space="preserve">(3) El precio de la papa utilizado corresponde al precio promedio mayorista regional durante </t>
    </r>
    <r>
      <rPr>
        <sz val="10"/>
        <color indexed="10"/>
        <rFont val="Arial"/>
        <family val="2"/>
      </rPr>
      <t>enero</t>
    </r>
    <r>
      <rPr>
        <sz val="10"/>
        <color indexed="8"/>
        <rFont val="Arial"/>
        <family val="2"/>
      </rPr>
      <t xml:space="preserve"> </t>
    </r>
    <r>
      <rPr>
        <sz val="10"/>
        <color indexed="8"/>
        <rFont val="Arial"/>
        <family val="2"/>
      </rPr>
      <t>de 2017.</t>
    </r>
  </si>
  <si>
    <r>
      <t xml:space="preserve">Biobío
</t>
    </r>
    <r>
      <rPr>
        <sz val="10"/>
        <rFont val="Arial"/>
        <family val="2"/>
      </rPr>
      <t>Variedad Patagonia
Papa Guarda</t>
    </r>
  </si>
  <si>
    <t>Fecha de publicación: 2015 Region Metropolitana, 2013 Maule, 2016 Biobío</t>
  </si>
  <si>
    <t>2016</t>
  </si>
  <si>
    <t>ene 2016</t>
  </si>
  <si>
    <t>ene 2017</t>
  </si>
  <si>
    <t>diff Vol</t>
  </si>
  <si>
    <t>diff $</t>
  </si>
  <si>
    <t>Px 2017</t>
  </si>
  <si>
    <t>($ nominales sin IVA / kilo)</t>
  </si>
  <si>
    <t>Porcentaje de representación</t>
  </si>
  <si>
    <r>
      <rPr>
        <i/>
        <sz val="10"/>
        <rFont val="Arial"/>
        <family val="2"/>
      </rPr>
      <t>Fuente</t>
    </r>
    <r>
      <rPr>
        <sz val="10"/>
        <rFont val="Arial"/>
        <family val="2"/>
      </rPr>
      <t xml:space="preserve">: elaborado por Odepa con información del INE.
</t>
    </r>
  </si>
  <si>
    <r>
      <t xml:space="preserve">1. </t>
    </r>
    <r>
      <rPr>
        <u val="single"/>
        <sz val="10"/>
        <rFont val="Arial"/>
        <family val="2"/>
      </rPr>
      <t>Precios de la papa en mercados mayoristas</t>
    </r>
    <r>
      <rPr>
        <sz val="10"/>
        <rFont val="Arial"/>
        <family val="2"/>
      </rPr>
      <t>: precios medios siguen bajando.
El precio promedio mensual de la papa en los mercados mayoristas durante enero de 2017 fue de $120,5 por kilo, valor 12,6% inferior al del mes anterior y 38,6% inferior al del mismo mes en el año 2016 (cuadro 1 y gráfico 1). Cabe mencionar que este precio es el más bajo alcanzado en los últimos 4 años.
El precio promedio diario en los mercados mayoristas se comporta de forma errática entre un día y otro. Durante agosto 2016, el precio promedio nacional se mantuvo en un rango entre $12.000 y $14.000 pesos el saco de 50 kilos. Luego en septiembre el precio comienza a mostrar una tendencia sostenida a la baja (promedio $11.000 pesos el saco), alcanzando en enero un precio promedio nacional cercano a los $6.000 el saco de 50 kilos. Es común que después de septiembre el precio disminuya, y es lo que se está observando actualmente en los mercados mayoristas (gráfico 2 y cuadro 2). La variedad con precio promedio por saco de 50 kilos más alto en enero 2017 fue Cardinal (en promedio $9.818, un 55% más que el precio promedio nacional). Rosara en cambio presentó el precio más bajo (en promedio $4.629, un 27% menos que el precio promedio nacional). El promedio nacional para el mes de análisis es $6.346 el saco de 50 kilos. 
Los precios mayoristas de los mercados se presentan en general con precios estables durante diciembre 2016 y enero 2017. Arica destaca una vez más por ser el mercado que muestra los precios más altos comparado con todos los otros mercados nacionales donde Odepa registra precios. En enero ese mercado registra un precio promedio de $15.014 el saco de 50 kilos, un 137% más alto que el promedio nacional. Por otro lado, Talca y Chillán registran el precio medio más bajo de enero ($4.130 y $4.293 respectivamente), lo que corresponde a 35% y 32% menos que el promedio nacional respectivamente (cuadro 3 y gráfico 3).</t>
    </r>
  </si>
  <si>
    <r>
      <t xml:space="preserve">2. </t>
    </r>
    <r>
      <rPr>
        <u val="single"/>
        <sz val="10"/>
        <rFont val="Arial"/>
        <family val="2"/>
      </rPr>
      <t>Precio de la papa en mercados minoristas</t>
    </r>
    <r>
      <rPr>
        <sz val="10"/>
        <rFont val="Arial"/>
        <family val="2"/>
      </rPr>
      <t>: precios al consumidor también registran bajas.
En el monitoreo de precios al consumidor que realiza Odepa en la ciudad de Santiago, se observó que el precio promedio mensual de enero 2017 en supermercado disminuyó 22,6% con relación al mismo mes del año anterior, y aumentó 0,8% con respecto al mes anterior. En ferias el precio aumentó 2,1% en relación al mes anterior, y disminuyó 17,2% respecto del mismo mes del año anterior. Como siempre, los precios son más altos en supermercados que en ferias. En enero 2017, en Santiago, el precio promedio de supermercados alcanzó $1.091 por kilo, y en ferias, $394 por kilo, es decir, el precio en supermercados es 177% más alto que en ferias libres. 
Respecto a los precios al consumidor que Odepa recoge entre las regiones de Arica y Los Lagos, se observa que, al igual que en Santiago, éstos son erráticos entre semanas. Además, en supermercados los precios son superiores a los de las ferias libres. Al comparar los precios promedios semanales entre septiembre 2016 y enero 2017, entre ferias y supermercados, por región, se observa que la menor diferencia de precios en los últimos cinco meses se presentó en la Región de Arica, donde el promedio de precios en supermercados ($1.108) fue 101% más caro que en ferias ($551). Por otra parte, la mayor diferencia de precios entre supermercados y ferias libres se registró en la Región del Biobío, donde el promedio de precios en supermercado ($1.092) fue 214% más caro que en ferias libres ($348). El promedio de precios más alto en supermercado se registró en Coquimbo ($1.135 pesos por kilo), y el más bajo en la Región Metropolitana ($1.068 pesos por kilo). En Ferias Libres, el promedio de precios más alto se registró en Arica ($551 pesos por kilo), y el más bajo en Biobío ($381 pesos por kilo).</t>
    </r>
  </si>
  <si>
    <r>
      <t xml:space="preserve">4. </t>
    </r>
    <r>
      <rPr>
        <u val="single"/>
        <sz val="10"/>
        <rFont val="Arial"/>
        <family val="2"/>
      </rPr>
      <t>Ficha de Costos</t>
    </r>
    <r>
      <rPr>
        <sz val="10"/>
        <rFont val="Arial"/>
        <family val="2"/>
      </rPr>
      <t>: Márgenes negativos
Odepa lleva un registro de fichas de costos de varios rubros, lo que permite analizar los costos asociados al desarrollo del cultivo, y los ingresos promedios que éstos generan para el productor. 
Para este mes, el análisis de margen neto entrega un valor negativo para la realidad de la Región Metropolitana, Maule y Biobío. Los costos de Maule corresponden al año 2013, los de Biobío al año 2016, y los de la Región Metropolitana corresponden a 2015. En el análisis de sensibilidad (cuadro 10) se puede revisar los precios que permiten alcanzar números azules en la rentabilidad del cultivo, entendiendo que el punto de equilibrio para este mes, en la región metropolitana, se alcanzaría en los $121 por kilos para un rendimiento de 30 ton/ha.
Los valores son referenciales. Para mayor información y detalle del cálculo, revisar www.odepa.cl/rubro/papas-y-tuberculos.
Además en http://manualinia.papachile.cl/?page=login encontrará una ficha técnico-económica interactiva que le permitirá estimar los costos de producción.</t>
    </r>
  </si>
  <si>
    <r>
      <t xml:space="preserve">5. </t>
    </r>
    <r>
      <rPr>
        <u val="single"/>
        <sz val="10"/>
        <rFont val="Arial"/>
        <family val="2"/>
      </rPr>
      <t>Comercio exterior papa fresca y procesada</t>
    </r>
    <r>
      <rPr>
        <sz val="10"/>
        <rFont val="Arial"/>
        <family val="2"/>
      </rPr>
      <t>: disminuyen las compras de papas procesadas desde Argentina
La balanza comercial para enero 2017 de los productos derivados de papa es negativa, con importaciones muy superiores a las ventas al exterior (cuadros 11 y 12).
En enero 2017 las exportaciones sumaron USD $214 mil, cifra 22% inferior a la registrada en el mismo período del año anterior. En volumen, se exportaron 37 toneladas, 30% menos que en el mismo período del año 2016. Destaca el alza en valor de las exportaciones de papa sin congelar hacia Paraguay, con ventas por 1,65 toneladas, por un valor de USD $11.500. 
Las importaciones sumaron USD 7,3 millones y 8,7 toneladas en enero 2017, lo que representa un alza en valor de 11% en comparación con igual período del año anterior, y 13% más en volumen. Las papas preparadas congeladas son la principal categoría comprada por Chile, representando un 83% del total de las compras de papas. En esa categoría destaca fuertemente Bélgica, concentrando el 48% del total de compras en esa categoría. Junto con Países Bajos, Argentina y Alemania concentran el 99% del total de compras para el periodo de análisis. Bélgica y Paises bajos son los países con mayor aumento en las ventas hacia Chile en comparación con igual período del año 2016. Argentina registra una baja en el valor y volumen en papas preparadas congeladas, en comparación con 2016.</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</si>
</sst>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_ * #,##0_ ;_ * \-#,##0_ ;_ * &quot;-&quot;_ ;_ @_ "/>
    <numFmt numFmtId="166" formatCode="_ * #,##0.00_ ;_ * \-#,##0.00_ ;_ * &quot;-&quot;??_ ;_ @_ "/>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_-* #,##0.000\ _€_-;\-* #,##0.000\ _€_-;_-* &quot;-&quot;?\ _€_-;_-@_-"/>
    <numFmt numFmtId="175" formatCode="dd/mm/yy;@"/>
    <numFmt numFmtId="176" formatCode="0.0%"/>
    <numFmt numFmtId="177" formatCode="_-* #,##0.000\ _€_-;\-* #,##0.000\ _€_-;_-* &quot;-&quot;???\ _€_-;_-@_-"/>
    <numFmt numFmtId="178" formatCode="_-* #,##0.0_-;\-* #,##0.0_-;_-* &quot;-&quot;??_-;_-@_-"/>
    <numFmt numFmtId="179" formatCode="#,##0_ ;\-#,##0\ "/>
    <numFmt numFmtId="180" formatCode="#,##0.0_ ;\-#,##0.0\ "/>
    <numFmt numFmtId="181" formatCode="dd/mm"/>
  </numFmts>
  <fonts count="129">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u val="single"/>
      <sz val="11"/>
      <name val="Arial"/>
      <family val="2"/>
    </font>
    <font>
      <i/>
      <sz val="10"/>
      <color indexed="8"/>
      <name val="Arial"/>
      <family val="2"/>
    </font>
    <font>
      <b/>
      <i/>
      <sz val="10"/>
      <color indexed="8"/>
      <name val="Arial"/>
      <family val="2"/>
    </font>
    <font>
      <u val="single"/>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u val="single"/>
      <sz val="10"/>
      <color indexed="10"/>
      <name val="Arial"/>
      <family val="2"/>
    </font>
    <font>
      <b/>
      <sz val="12"/>
      <color indexed="8"/>
      <name val="Arial"/>
      <family val="2"/>
    </font>
    <font>
      <sz val="10"/>
      <color indexed="10"/>
      <name val="Calibri"/>
      <family val="2"/>
    </font>
    <font>
      <b/>
      <sz val="10"/>
      <color indexed="10"/>
      <name val="Arial"/>
      <family val="2"/>
    </font>
    <font>
      <i/>
      <sz val="10"/>
      <color indexed="10"/>
      <name val="Arial"/>
      <family val="2"/>
    </font>
    <font>
      <u val="single"/>
      <sz val="10"/>
      <color indexed="9"/>
      <name val="Arial"/>
      <family val="2"/>
    </font>
    <font>
      <u val="single"/>
      <sz val="11"/>
      <color indexed="20"/>
      <name val="Calibri"/>
      <family val="2"/>
    </font>
    <font>
      <sz val="10"/>
      <color indexed="8"/>
      <name val="Calibri"/>
      <family val="0"/>
    </font>
    <font>
      <sz val="9.2"/>
      <color indexed="8"/>
      <name val="Arial"/>
      <family val="0"/>
    </font>
    <font>
      <sz val="8.25"/>
      <color indexed="8"/>
      <name val="Arial"/>
      <family val="0"/>
    </font>
    <font>
      <sz val="12"/>
      <color indexed="8"/>
      <name val="Calibri"/>
      <family val="0"/>
    </font>
    <font>
      <b/>
      <sz val="12"/>
      <color indexed="8"/>
      <name val="Calibri"/>
      <family val="0"/>
    </font>
    <font>
      <sz val="10"/>
      <color indexed="25"/>
      <name val="Arial"/>
      <family val="0"/>
    </font>
    <font>
      <sz val="9.2"/>
      <color indexed="25"/>
      <name val="Arial"/>
      <family val="0"/>
    </font>
    <font>
      <sz val="9.2"/>
      <color indexed="6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val="single"/>
      <sz val="10"/>
      <color rgb="FFFF0000"/>
      <name val="Arial"/>
      <family val="2"/>
    </font>
    <font>
      <b/>
      <sz val="12"/>
      <color theme="1"/>
      <name val="Arial"/>
      <family val="2"/>
    </font>
    <font>
      <sz val="10"/>
      <color theme="6" tint="-0.4999699890613556"/>
      <name val="Arial"/>
      <family val="2"/>
    </font>
    <font>
      <sz val="10"/>
      <color rgb="FFFF0000"/>
      <name val="Calibri"/>
      <family val="2"/>
    </font>
    <font>
      <b/>
      <sz val="10"/>
      <color rgb="FFFF0000"/>
      <name val="Arial"/>
      <family val="2"/>
    </font>
    <font>
      <b/>
      <sz val="10"/>
      <color theme="0"/>
      <name val="Arial"/>
      <family val="2"/>
    </font>
    <font>
      <i/>
      <sz val="10"/>
      <color rgb="FFFF0000"/>
      <name val="Arial"/>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color theme="1" tint="0.49998000264167786"/>
      </top>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style="thin"/>
      <bottom/>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style="thin"/>
      <right style="thin"/>
      <top/>
      <botto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5" fillId="35" borderId="1" applyNumberFormat="0" applyAlignment="0" applyProtection="0"/>
    <xf numFmtId="0" fontId="10" fillId="36" borderId="2" applyNumberFormat="0" applyAlignment="0" applyProtection="0"/>
    <xf numFmtId="0" fontId="85" fillId="35" borderId="1" applyNumberFormat="0" applyAlignment="0" applyProtection="0"/>
    <xf numFmtId="0" fontId="85" fillId="35" borderId="1" applyNumberFormat="0" applyAlignment="0" applyProtection="0"/>
    <xf numFmtId="0" fontId="85" fillId="35" borderId="1" applyNumberFormat="0" applyAlignment="0" applyProtection="0"/>
    <xf numFmtId="0" fontId="10" fillId="36" borderId="2" applyNumberFormat="0" applyAlignment="0" applyProtection="0"/>
    <xf numFmtId="0" fontId="85" fillId="35" borderId="1" applyNumberFormat="0" applyAlignment="0" applyProtection="0"/>
    <xf numFmtId="0" fontId="85" fillId="35" borderId="1" applyNumberFormat="0" applyAlignment="0" applyProtection="0"/>
    <xf numFmtId="0" fontId="10" fillId="36" borderId="2" applyNumberFormat="0" applyAlignment="0" applyProtection="0"/>
    <xf numFmtId="0" fontId="86" fillId="37" borderId="3" applyNumberFormat="0" applyAlignment="0" applyProtection="0"/>
    <xf numFmtId="0" fontId="11" fillId="38" borderId="4" applyNumberFormat="0" applyAlignment="0" applyProtection="0"/>
    <xf numFmtId="0" fontId="86" fillId="37" borderId="3" applyNumberFormat="0" applyAlignment="0" applyProtection="0"/>
    <xf numFmtId="0" fontId="86" fillId="37" borderId="3" applyNumberFormat="0" applyAlignment="0" applyProtection="0"/>
    <xf numFmtId="0" fontId="86" fillId="37" borderId="3" applyNumberFormat="0" applyAlignment="0" applyProtection="0"/>
    <xf numFmtId="0" fontId="11" fillId="38" borderId="4" applyNumberFormat="0" applyAlignment="0" applyProtection="0"/>
    <xf numFmtId="0" fontId="86" fillId="37" borderId="3" applyNumberFormat="0" applyAlignment="0" applyProtection="0"/>
    <xf numFmtId="0" fontId="86" fillId="37" borderId="3" applyNumberFormat="0" applyAlignment="0" applyProtection="0"/>
    <xf numFmtId="0" fontId="11" fillId="38" borderId="4" applyNumberFormat="0" applyAlignment="0" applyProtection="0"/>
    <xf numFmtId="0" fontId="87" fillId="0" borderId="5" applyNumberFormat="0" applyFill="0" applyAlignment="0" applyProtection="0"/>
    <xf numFmtId="0" fontId="12" fillId="0" borderId="6"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12" fillId="0" borderId="6"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12" fillId="0" borderId="6" applyNumberFormat="0" applyFill="0" applyAlignment="0" applyProtection="0"/>
    <xf numFmtId="0" fontId="88" fillId="0" borderId="7" applyNumberFormat="0" applyFill="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90" fillId="49" borderId="1" applyNumberFormat="0" applyAlignment="0" applyProtection="0"/>
    <xf numFmtId="0" fontId="14" fillId="13" borderId="2" applyNumberFormat="0" applyAlignment="0" applyProtection="0"/>
    <xf numFmtId="0" fontId="90" fillId="49" borderId="1" applyNumberFormat="0" applyAlignment="0" applyProtection="0"/>
    <xf numFmtId="0" fontId="90" fillId="49" borderId="1" applyNumberFormat="0" applyAlignment="0" applyProtection="0"/>
    <xf numFmtId="0" fontId="90" fillId="49" borderId="1" applyNumberFormat="0" applyAlignment="0" applyProtection="0"/>
    <xf numFmtId="0" fontId="14" fillId="13" borderId="2" applyNumberFormat="0" applyAlignment="0" applyProtection="0"/>
    <xf numFmtId="0" fontId="90" fillId="49" borderId="1" applyNumberFormat="0" applyAlignment="0" applyProtection="0"/>
    <xf numFmtId="0" fontId="90" fillId="49" borderId="1" applyNumberFormat="0" applyAlignment="0" applyProtection="0"/>
    <xf numFmtId="0" fontId="14" fillId="13" borderId="2" applyNumberFormat="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0" borderId="0" applyNumberFormat="0" applyFill="0" applyBorder="0" applyAlignment="0" applyProtection="0"/>
    <xf numFmtId="0" fontId="94" fillId="50" borderId="0" applyNumberFormat="0" applyBorder="0" applyAlignment="0" applyProtection="0"/>
    <xf numFmtId="0" fontId="15" fillId="5"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15" fillId="5"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51" borderId="0" applyNumberFormat="0" applyBorder="0" applyAlignment="0" applyProtection="0"/>
    <xf numFmtId="0" fontId="16" fillId="52"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16" fillId="52"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7" fillId="35" borderId="10" applyNumberFormat="0" applyAlignment="0" applyProtection="0"/>
    <xf numFmtId="0" fontId="17" fillId="36" borderId="11" applyNumberFormat="0" applyAlignment="0" applyProtection="0"/>
    <xf numFmtId="0" fontId="97" fillId="35" borderId="10" applyNumberFormat="0" applyAlignment="0" applyProtection="0"/>
    <xf numFmtId="0" fontId="97" fillId="35" borderId="10" applyNumberFormat="0" applyAlignment="0" applyProtection="0"/>
    <xf numFmtId="0" fontId="97" fillId="35" borderId="10" applyNumberFormat="0" applyAlignment="0" applyProtection="0"/>
    <xf numFmtId="0" fontId="17" fillId="36" borderId="11" applyNumberFormat="0" applyAlignment="0" applyProtection="0"/>
    <xf numFmtId="0" fontId="97" fillId="35" borderId="10" applyNumberFormat="0" applyAlignment="0" applyProtection="0"/>
    <xf numFmtId="0" fontId="97" fillId="35" borderId="10" applyNumberFormat="0" applyAlignment="0" applyProtection="0"/>
    <xf numFmtId="0" fontId="17" fillId="36" borderId="11" applyNumberFormat="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100" fillId="0" borderId="0" applyNumberFormat="0" applyFill="0" applyBorder="0" applyAlignment="0" applyProtection="0"/>
    <xf numFmtId="0" fontId="20" fillId="0" borderId="12"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20" fillId="0" borderId="12"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20" fillId="0" borderId="12"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2" fillId="0" borderId="17" applyNumberFormat="0" applyFill="0" applyAlignment="0" applyProtection="0"/>
    <xf numFmtId="0" fontId="6" fillId="0" borderId="18"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6" fillId="0" borderId="18"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6" fillId="0" borderId="18" applyNumberFormat="0" applyFill="0" applyAlignment="0" applyProtection="0"/>
  </cellStyleXfs>
  <cellXfs count="408">
    <xf numFmtId="0" fontId="0" fillId="0" borderId="0" xfId="0" applyFont="1" applyAlignment="1">
      <alignment/>
    </xf>
    <xf numFmtId="0" fontId="22" fillId="55" borderId="0" xfId="362" applyFont="1" applyFill="1" applyBorder="1" applyAlignment="1">
      <alignment horizontal="center" vertical="center" wrapText="1"/>
      <protection/>
    </xf>
    <xf numFmtId="0" fontId="2" fillId="55" borderId="0" xfId="362" applyFont="1" applyFill="1" applyBorder="1">
      <alignment/>
      <protection/>
    </xf>
    <xf numFmtId="0" fontId="22" fillId="55" borderId="19" xfId="362" applyFont="1" applyFill="1" applyBorder="1">
      <alignment/>
      <protection/>
    </xf>
    <xf numFmtId="0" fontId="22" fillId="55" borderId="20" xfId="362" applyFont="1" applyFill="1" applyBorder="1">
      <alignment/>
      <protection/>
    </xf>
    <xf numFmtId="0" fontId="2" fillId="55" borderId="0" xfId="350" applyFill="1">
      <alignment/>
      <protection/>
    </xf>
    <xf numFmtId="0" fontId="2" fillId="55" borderId="0" xfId="350" applyFont="1" applyFill="1">
      <alignment/>
      <protection/>
    </xf>
    <xf numFmtId="0" fontId="2" fillId="55" borderId="0" xfId="350" applyFont="1" applyFill="1" applyAlignment="1">
      <alignment horizontal="center" vertical="center"/>
      <protection/>
    </xf>
    <xf numFmtId="0" fontId="2" fillId="55" borderId="0" xfId="350" applyFont="1" applyFill="1" applyAlignment="1">
      <alignment/>
      <protection/>
    </xf>
    <xf numFmtId="0" fontId="2" fillId="55" borderId="0" xfId="350" applyFont="1" applyFill="1" applyAlignment="1">
      <alignment horizontal="center"/>
      <protection/>
    </xf>
    <xf numFmtId="0" fontId="2" fillId="55" borderId="0" xfId="372" applyFont="1" applyFill="1" applyBorder="1" applyAlignment="1" applyProtection="1">
      <alignment horizontal="center"/>
      <protection/>
    </xf>
    <xf numFmtId="0" fontId="103" fillId="55" borderId="0" xfId="372" applyFont="1" applyFill="1" applyBorder="1" applyAlignment="1" applyProtection="1">
      <alignment horizontal="right"/>
      <protection/>
    </xf>
    <xf numFmtId="0" fontId="2" fillId="55" borderId="0" xfId="372" applyFont="1" applyFill="1" applyBorder="1" applyAlignment="1" applyProtection="1">
      <alignment/>
      <protection/>
    </xf>
    <xf numFmtId="0" fontId="22" fillId="55" borderId="0" xfId="372" applyFont="1" applyFill="1" applyBorder="1" applyAlignment="1" applyProtection="1">
      <alignment horizontal="center"/>
      <protection/>
    </xf>
    <xf numFmtId="0" fontId="103" fillId="55" borderId="0" xfId="372" applyFont="1" applyFill="1" applyBorder="1" applyAlignment="1" applyProtection="1">
      <alignment horizontal="center"/>
      <protection/>
    </xf>
    <xf numFmtId="0" fontId="103" fillId="55" borderId="0" xfId="372" applyFont="1" applyFill="1" applyBorder="1" applyProtection="1">
      <alignment/>
      <protection/>
    </xf>
    <xf numFmtId="0" fontId="2" fillId="55" borderId="0" xfId="372" applyFont="1" applyFill="1" applyBorder="1" applyProtection="1">
      <alignment/>
      <protection/>
    </xf>
    <xf numFmtId="0" fontId="2" fillId="55" borderId="0" xfId="372" applyFont="1" applyFill="1" applyBorder="1" applyAlignment="1" applyProtection="1">
      <alignment horizontal="center" vertical="center"/>
      <protection/>
    </xf>
    <xf numFmtId="0" fontId="104" fillId="55" borderId="0" xfId="372" applyFont="1" applyFill="1" applyBorder="1" applyAlignment="1" applyProtection="1">
      <alignment horizontal="center"/>
      <protection/>
    </xf>
    <xf numFmtId="0" fontId="22" fillId="55" borderId="0" xfId="372" applyFont="1" applyFill="1" applyBorder="1" applyProtection="1">
      <alignment/>
      <protection/>
    </xf>
    <xf numFmtId="0" fontId="2" fillId="55" borderId="0" xfId="362" applyFont="1" applyFill="1">
      <alignment/>
      <protection/>
    </xf>
    <xf numFmtId="0" fontId="22" fillId="55" borderId="21" xfId="372" applyFont="1" applyFill="1" applyBorder="1" applyAlignment="1" applyProtection="1">
      <alignment horizontal="center" vertical="center"/>
      <protection/>
    </xf>
    <xf numFmtId="0" fontId="22" fillId="55" borderId="21" xfId="372" applyFont="1" applyFill="1" applyBorder="1" applyAlignment="1" applyProtection="1">
      <alignment horizontal="left" vertical="center"/>
      <protection/>
    </xf>
    <xf numFmtId="0" fontId="22" fillId="55" borderId="21" xfId="372" applyFont="1" applyFill="1" applyBorder="1" applyAlignment="1" applyProtection="1">
      <alignment vertical="center"/>
      <protection/>
    </xf>
    <xf numFmtId="0" fontId="2" fillId="55" borderId="0" xfId="350" applyFont="1" applyFill="1" applyAlignment="1">
      <alignment wrapText="1"/>
      <protection/>
    </xf>
    <xf numFmtId="0" fontId="2" fillId="55" borderId="0" xfId="366" applyFont="1" applyFill="1" applyBorder="1" applyAlignment="1">
      <alignment horizontal="center"/>
      <protection/>
    </xf>
    <xf numFmtId="0" fontId="24" fillId="55" borderId="0" xfId="362" applyFont="1" applyFill="1" applyBorder="1">
      <alignment/>
      <protection/>
    </xf>
    <xf numFmtId="0" fontId="92" fillId="55" borderId="0" xfId="286" applyFont="1" applyFill="1" applyAlignment="1" applyProtection="1">
      <alignment/>
      <protection/>
    </xf>
    <xf numFmtId="0" fontId="92" fillId="55" borderId="0" xfId="286" applyFont="1" applyFill="1" applyBorder="1" applyAlignment="1" applyProtection="1">
      <alignment horizontal="right"/>
      <protection/>
    </xf>
    <xf numFmtId="0" fontId="92"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5" fillId="56" borderId="21" xfId="0" applyFont="1" applyFill="1" applyBorder="1" applyAlignment="1">
      <alignment vertical="center"/>
    </xf>
    <xf numFmtId="0" fontId="105" fillId="56" borderId="21" xfId="0" applyFont="1" applyFill="1" applyBorder="1" applyAlignment="1">
      <alignment horizontal="center" vertical="center" wrapText="1"/>
    </xf>
    <xf numFmtId="3" fontId="106" fillId="55" borderId="22" xfId="0" applyNumberFormat="1" applyFont="1" applyFill="1" applyBorder="1" applyAlignment="1">
      <alignment horizontal="center"/>
    </xf>
    <xf numFmtId="0" fontId="22" fillId="55" borderId="0" xfId="372" applyFont="1" applyFill="1" applyBorder="1" applyAlignment="1" applyProtection="1">
      <alignment horizontal="center" vertical="center"/>
      <protection/>
    </xf>
    <xf numFmtId="0" fontId="106" fillId="55" borderId="0" xfId="0" applyFont="1" applyFill="1" applyAlignment="1">
      <alignment/>
    </xf>
    <xf numFmtId="3" fontId="105" fillId="55" borderId="23" xfId="0" applyNumberFormat="1" applyFont="1" applyFill="1" applyBorder="1" applyAlignment="1" quotePrefix="1">
      <alignment horizontal="center" vertical="center" wrapText="1"/>
    </xf>
    <xf numFmtId="3" fontId="105" fillId="55" borderId="24" xfId="0" applyNumberFormat="1" applyFont="1" applyFill="1" applyBorder="1" applyAlignment="1" quotePrefix="1">
      <alignment horizontal="center" vertical="center" wrapText="1"/>
    </xf>
    <xf numFmtId="170" fontId="105" fillId="55" borderId="24" xfId="0" applyNumberFormat="1" applyFont="1" applyFill="1" applyBorder="1" applyAlignment="1">
      <alignment horizontal="center" vertical="center" wrapText="1"/>
    </xf>
    <xf numFmtId="3" fontId="105" fillId="55" borderId="24" xfId="0" applyNumberFormat="1" applyFont="1" applyFill="1" applyBorder="1" applyAlignment="1">
      <alignment horizontal="center" vertical="center" wrapText="1"/>
    </xf>
    <xf numFmtId="170" fontId="105" fillId="55" borderId="25" xfId="0" applyNumberFormat="1" applyFont="1" applyFill="1" applyBorder="1" applyAlignment="1">
      <alignment horizontal="center" vertical="center" wrapText="1"/>
    </xf>
    <xf numFmtId="3" fontId="106" fillId="55" borderId="23" xfId="0" applyNumberFormat="1" applyFont="1" applyFill="1" applyBorder="1" applyAlignment="1">
      <alignment/>
    </xf>
    <xf numFmtId="3" fontId="106" fillId="55" borderId="24" xfId="0" applyNumberFormat="1" applyFont="1" applyFill="1" applyBorder="1" applyAlignment="1">
      <alignment/>
    </xf>
    <xf numFmtId="170" fontId="106" fillId="55" borderId="25" xfId="0" applyNumberFormat="1" applyFont="1" applyFill="1" applyBorder="1" applyAlignment="1">
      <alignment horizontal="right"/>
    </xf>
    <xf numFmtId="3" fontId="106" fillId="55" borderId="0" xfId="0" applyNumberFormat="1" applyFont="1" applyFill="1" applyAlignment="1">
      <alignment/>
    </xf>
    <xf numFmtId="3" fontId="106" fillId="55" borderId="26" xfId="0" applyNumberFormat="1" applyFont="1" applyFill="1" applyBorder="1" applyAlignment="1">
      <alignment/>
    </xf>
    <xf numFmtId="3" fontId="106" fillId="55" borderId="0" xfId="0" applyNumberFormat="1" applyFont="1" applyFill="1" applyBorder="1" applyAlignment="1">
      <alignment/>
    </xf>
    <xf numFmtId="170" fontId="106" fillId="55" borderId="27" xfId="0" applyNumberFormat="1" applyFont="1" applyFill="1" applyBorder="1" applyAlignment="1">
      <alignment horizontal="right"/>
    </xf>
    <xf numFmtId="0" fontId="92" fillId="55" borderId="0" xfId="286" applyFont="1" applyFill="1" applyAlignment="1">
      <alignment/>
    </xf>
    <xf numFmtId="170" fontId="2" fillId="55" borderId="0" xfId="362" applyNumberFormat="1" applyFont="1" applyFill="1" applyBorder="1">
      <alignment/>
      <protection/>
    </xf>
    <xf numFmtId="0" fontId="2" fillId="55" borderId="0" xfId="362" applyFont="1" applyFill="1" applyBorder="1" applyAlignment="1">
      <alignment/>
      <protection/>
    </xf>
    <xf numFmtId="0" fontId="24" fillId="55" borderId="0" xfId="362" applyFont="1" applyFill="1">
      <alignment/>
      <protection/>
    </xf>
    <xf numFmtId="3" fontId="2" fillId="55" borderId="0" xfId="362" applyNumberFormat="1" applyFont="1" applyFill="1" applyBorder="1">
      <alignment/>
      <protection/>
    </xf>
    <xf numFmtId="3" fontId="2" fillId="55" borderId="0" xfId="362" applyNumberFormat="1" applyFont="1" applyFill="1">
      <alignment/>
      <protection/>
    </xf>
    <xf numFmtId="174" fontId="2" fillId="55" borderId="0" xfId="362" applyNumberFormat="1" applyFont="1" applyFill="1">
      <alignment/>
      <protection/>
    </xf>
    <xf numFmtId="173" fontId="2" fillId="55" borderId="0" xfId="362" applyNumberFormat="1" applyFont="1" applyFill="1">
      <alignment/>
      <protection/>
    </xf>
    <xf numFmtId="3" fontId="107" fillId="0" borderId="0" xfId="0" applyNumberFormat="1" applyFont="1" applyAlignment="1">
      <alignment/>
    </xf>
    <xf numFmtId="0" fontId="108" fillId="55" borderId="0" xfId="0" applyFont="1" applyFill="1" applyAlignment="1">
      <alignment/>
    </xf>
    <xf numFmtId="14" fontId="106" fillId="55" borderId="22" xfId="0" applyNumberFormat="1" applyFont="1" applyFill="1" applyBorder="1" applyAlignment="1">
      <alignment horizontal="left"/>
    </xf>
    <xf numFmtId="0" fontId="106" fillId="55" borderId="0" xfId="0" applyFont="1" applyFill="1" applyAlignment="1">
      <alignment horizontal="center"/>
    </xf>
    <xf numFmtId="0" fontId="105" fillId="55" borderId="21" xfId="0" applyFont="1" applyFill="1" applyBorder="1" applyAlignment="1">
      <alignment vertical="center"/>
    </xf>
    <xf numFmtId="0" fontId="105" fillId="55" borderId="21" xfId="0" applyFont="1" applyFill="1" applyBorder="1" applyAlignment="1">
      <alignment horizontal="center" vertical="center"/>
    </xf>
    <xf numFmtId="0" fontId="109" fillId="55" borderId="0" xfId="0" applyFont="1" applyFill="1" applyAlignment="1">
      <alignment horizontal="center" vertical="center" readingOrder="1"/>
    </xf>
    <xf numFmtId="0" fontId="2" fillId="55" borderId="26" xfId="362" applyFont="1" applyFill="1" applyBorder="1">
      <alignment/>
      <protection/>
    </xf>
    <xf numFmtId="3" fontId="105" fillId="55" borderId="28" xfId="0" applyNumberFormat="1" applyFont="1" applyFill="1" applyBorder="1" applyAlignment="1">
      <alignment/>
    </xf>
    <xf numFmtId="3" fontId="105" fillId="55" borderId="21" xfId="0" applyNumberFormat="1" applyFont="1" applyFill="1" applyBorder="1" applyAlignment="1">
      <alignment/>
    </xf>
    <xf numFmtId="170" fontId="105" fillId="55" borderId="29" xfId="0" applyNumberFormat="1" applyFont="1" applyFill="1" applyBorder="1" applyAlignment="1">
      <alignment horizontal="right"/>
    </xf>
    <xf numFmtId="3" fontId="105" fillId="55" borderId="23" xfId="0" applyNumberFormat="1" applyFont="1" applyFill="1" applyBorder="1" applyAlignment="1">
      <alignment/>
    </xf>
    <xf numFmtId="3" fontId="105" fillId="55" borderId="24" xfId="0" applyNumberFormat="1" applyFont="1" applyFill="1" applyBorder="1" applyAlignment="1">
      <alignment/>
    </xf>
    <xf numFmtId="170" fontId="105" fillId="55" borderId="25" xfId="0" applyNumberFormat="1" applyFont="1" applyFill="1" applyBorder="1" applyAlignment="1">
      <alignment horizontal="right"/>
    </xf>
    <xf numFmtId="0" fontId="106" fillId="55" borderId="24" xfId="0" applyFont="1" applyFill="1" applyBorder="1" applyAlignment="1">
      <alignment/>
    </xf>
    <xf numFmtId="0" fontId="106" fillId="55" borderId="0" xfId="0" applyFont="1" applyFill="1" applyBorder="1" applyAlignment="1">
      <alignment/>
    </xf>
    <xf numFmtId="0" fontId="110" fillId="55" borderId="0" xfId="286" applyFont="1" applyFill="1" applyAlignment="1">
      <alignment/>
    </xf>
    <xf numFmtId="3" fontId="2" fillId="55" borderId="0" xfId="362" applyNumberFormat="1" applyFont="1" applyFill="1" applyBorder="1" applyAlignment="1">
      <alignment horizontal="center"/>
      <protection/>
    </xf>
    <xf numFmtId="0" fontId="2" fillId="55" borderId="0" xfId="362" applyFont="1" applyFill="1" applyBorder="1" applyAlignment="1">
      <alignment horizontal="center"/>
      <protection/>
    </xf>
    <xf numFmtId="3" fontId="2" fillId="55" borderId="0" xfId="366" applyNumberFormat="1" applyFont="1" applyFill="1" applyBorder="1" applyAlignment="1">
      <alignment horizontal="center"/>
      <protection/>
    </xf>
    <xf numFmtId="0" fontId="0" fillId="55" borderId="0" xfId="0" applyFill="1" applyAlignment="1">
      <alignment/>
    </xf>
    <xf numFmtId="0" fontId="111" fillId="55" borderId="0" xfId="0" applyFont="1" applyFill="1" applyAlignment="1">
      <alignment/>
    </xf>
    <xf numFmtId="0" fontId="111" fillId="55" borderId="0" xfId="358" applyFont="1" applyFill="1">
      <alignment/>
      <protection/>
    </xf>
    <xf numFmtId="0" fontId="0" fillId="55" borderId="0" xfId="0" applyFill="1" applyAlignment="1">
      <alignment horizontal="center" vertical="center"/>
    </xf>
    <xf numFmtId="0" fontId="112" fillId="55" borderId="0" xfId="358" applyFont="1" applyFill="1" applyAlignment="1">
      <alignment vertical="top"/>
      <protection/>
    </xf>
    <xf numFmtId="0" fontId="113" fillId="55" borderId="0" xfId="358" applyFont="1" applyFill="1" applyAlignment="1">
      <alignment horizontal="left" vertical="top"/>
      <protection/>
    </xf>
    <xf numFmtId="17" fontId="114" fillId="55" borderId="0" xfId="358" applyNumberFormat="1" applyFont="1" applyFill="1" applyAlignment="1" quotePrefix="1">
      <alignment vertical="center"/>
      <protection/>
    </xf>
    <xf numFmtId="0" fontId="114" fillId="55" borderId="0" xfId="358" applyFont="1" applyFill="1" applyAlignment="1">
      <alignment vertical="center"/>
      <protection/>
    </xf>
    <xf numFmtId="0" fontId="115" fillId="55" borderId="0" xfId="358" applyFont="1" applyFill="1" applyAlignment="1">
      <alignment horizontal="left" vertical="center"/>
      <protection/>
    </xf>
    <xf numFmtId="3" fontId="2" fillId="55" borderId="26" xfId="362" applyNumberFormat="1" applyFont="1" applyFill="1" applyBorder="1" applyAlignment="1">
      <alignment horizontal="center"/>
      <protection/>
    </xf>
    <xf numFmtId="169" fontId="2" fillId="55" borderId="0" xfId="362" applyNumberFormat="1" applyFont="1" applyFill="1" applyBorder="1" applyAlignment="1">
      <alignment horizontal="center"/>
      <protection/>
    </xf>
    <xf numFmtId="169" fontId="2" fillId="55" borderId="27" xfId="362" applyNumberFormat="1" applyFont="1" applyFill="1" applyBorder="1" applyAlignment="1">
      <alignment horizontal="center"/>
      <protection/>
    </xf>
    <xf numFmtId="0" fontId="22" fillId="55" borderId="28" xfId="362" applyFont="1" applyFill="1" applyBorder="1" applyAlignment="1">
      <alignment horizontal="center"/>
      <protection/>
    </xf>
    <xf numFmtId="0" fontId="22" fillId="55" borderId="21" xfId="362" applyFont="1" applyFill="1" applyBorder="1" applyAlignment="1">
      <alignment horizontal="center"/>
      <protection/>
    </xf>
    <xf numFmtId="0" fontId="22" fillId="55" borderId="29" xfId="362" applyFont="1" applyFill="1" applyBorder="1" applyAlignment="1">
      <alignment horizontal="center"/>
      <protection/>
    </xf>
    <xf numFmtId="3" fontId="2" fillId="55" borderId="0" xfId="305" applyNumberFormat="1" applyFont="1" applyFill="1" applyBorder="1" applyAlignment="1">
      <alignment horizontal="center" vertical="center"/>
    </xf>
    <xf numFmtId="3" fontId="2" fillId="55" borderId="30" xfId="305" applyNumberFormat="1" applyFont="1" applyFill="1" applyBorder="1" applyAlignment="1">
      <alignment horizontal="center" vertical="center" wrapText="1"/>
    </xf>
    <xf numFmtId="170" fontId="2" fillId="55" borderId="0" xfId="305" applyNumberFormat="1" applyFont="1" applyFill="1" applyBorder="1" applyAlignment="1">
      <alignment horizontal="center" vertical="center" wrapText="1"/>
    </xf>
    <xf numFmtId="170" fontId="2" fillId="55" borderId="0" xfId="362" applyNumberFormat="1" applyFont="1" applyFill="1" applyBorder="1" applyAlignment="1">
      <alignment horizontal="center"/>
      <protection/>
    </xf>
    <xf numFmtId="0" fontId="2" fillId="55" borderId="0" xfId="350" applyFont="1" applyFill="1" applyBorder="1">
      <alignment/>
      <protection/>
    </xf>
    <xf numFmtId="0" fontId="105" fillId="55" borderId="21" xfId="0" applyFont="1" applyFill="1" applyBorder="1" applyAlignment="1">
      <alignment horizontal="center" vertical="center" wrapText="1"/>
    </xf>
    <xf numFmtId="170" fontId="2" fillId="55" borderId="0" xfId="305" applyNumberFormat="1" applyFont="1" applyFill="1" applyBorder="1" applyAlignment="1">
      <alignment horizontal="center" vertical="center"/>
    </xf>
    <xf numFmtId="175" fontId="106" fillId="55" borderId="0" xfId="0" applyNumberFormat="1" applyFont="1" applyFill="1" applyAlignment="1">
      <alignment horizontal="left"/>
    </xf>
    <xf numFmtId="3" fontId="105" fillId="0" borderId="24" xfId="0" applyNumberFormat="1" applyFont="1" applyFill="1" applyBorder="1" applyAlignment="1">
      <alignment/>
    </xf>
    <xf numFmtId="14" fontId="106" fillId="55" borderId="31" xfId="0" applyNumberFormat="1" applyFont="1" applyFill="1" applyBorder="1" applyAlignment="1">
      <alignment horizontal="left"/>
    </xf>
    <xf numFmtId="3" fontId="106" fillId="55" borderId="31" xfId="0" applyNumberFormat="1" applyFont="1" applyFill="1" applyBorder="1" applyAlignment="1">
      <alignment horizontal="center"/>
    </xf>
    <xf numFmtId="14" fontId="106" fillId="55" borderId="32" xfId="0" applyNumberFormat="1" applyFont="1" applyFill="1" applyBorder="1" applyAlignment="1">
      <alignment horizontal="left"/>
    </xf>
    <xf numFmtId="3" fontId="106" fillId="55" borderId="32" xfId="0" applyNumberFormat="1" applyFont="1" applyFill="1" applyBorder="1" applyAlignment="1">
      <alignment horizontal="center"/>
    </xf>
    <xf numFmtId="175" fontId="106" fillId="55" borderId="33" xfId="0" applyNumberFormat="1" applyFont="1" applyFill="1" applyBorder="1" applyAlignment="1">
      <alignment horizontal="left"/>
    </xf>
    <xf numFmtId="175" fontId="106" fillId="55" borderId="31" xfId="0" applyNumberFormat="1" applyFont="1" applyFill="1" applyBorder="1" applyAlignment="1">
      <alignment horizontal="left"/>
    </xf>
    <xf numFmtId="0" fontId="2" fillId="55" borderId="34" xfId="362" applyFont="1" applyFill="1" applyBorder="1">
      <alignment/>
      <protection/>
    </xf>
    <xf numFmtId="0" fontId="2" fillId="55" borderId="32" xfId="362" applyFont="1" applyFill="1" applyBorder="1">
      <alignment/>
      <protection/>
    </xf>
    <xf numFmtId="0" fontId="26" fillId="55" borderId="0" xfId="0" applyFont="1" applyFill="1" applyAlignment="1">
      <alignment/>
    </xf>
    <xf numFmtId="0" fontId="105" fillId="55" borderId="0" xfId="358" applyFont="1" applyFill="1" applyAlignment="1">
      <alignment horizontal="center"/>
      <protection/>
    </xf>
    <xf numFmtId="0" fontId="22" fillId="55" borderId="0" xfId="362" applyFont="1" applyFill="1" applyBorder="1" applyAlignment="1">
      <alignment horizontal="center"/>
      <protection/>
    </xf>
    <xf numFmtId="0" fontId="24" fillId="55" borderId="0" xfId="362" applyFont="1" applyFill="1" applyBorder="1" applyAlignment="1">
      <alignment vertical="center" wrapText="1"/>
      <protection/>
    </xf>
    <xf numFmtId="17" fontId="116" fillId="55" borderId="0" xfId="358" applyNumberFormat="1" applyFont="1" applyFill="1" applyAlignment="1">
      <alignment vertical="center"/>
      <protection/>
    </xf>
    <xf numFmtId="0" fontId="0" fillId="55" borderId="0" xfId="0" applyFont="1" applyFill="1" applyAlignment="1">
      <alignment/>
    </xf>
    <xf numFmtId="0" fontId="117" fillId="55" borderId="0" xfId="358" applyFont="1" applyFill="1" applyAlignment="1">
      <alignment horizontal="center"/>
      <protection/>
    </xf>
    <xf numFmtId="0" fontId="111" fillId="55" borderId="0" xfId="358" applyFont="1" applyFill="1" applyAlignment="1">
      <alignment horizontal="center"/>
      <protection/>
    </xf>
    <xf numFmtId="0" fontId="117" fillId="55" borderId="0" xfId="358" applyFont="1" applyFill="1" applyAlignment="1">
      <alignment/>
      <protection/>
    </xf>
    <xf numFmtId="0" fontId="111" fillId="55" borderId="0" xfId="358" applyFont="1" applyFill="1" applyAlignment="1">
      <alignment/>
      <protection/>
    </xf>
    <xf numFmtId="0" fontId="28" fillId="55" borderId="0" xfId="286" applyFont="1" applyFill="1" applyAlignment="1">
      <alignment vertical="center"/>
    </xf>
    <xf numFmtId="0" fontId="28" fillId="55" borderId="0" xfId="286" applyFont="1" applyFill="1" applyAlignment="1">
      <alignment horizontal="center" vertical="center"/>
    </xf>
    <xf numFmtId="0" fontId="117" fillId="55" borderId="0" xfId="358" applyFont="1" applyFill="1" applyAlignment="1">
      <alignment vertical="center"/>
      <protection/>
    </xf>
    <xf numFmtId="0" fontId="105" fillId="55" borderId="0" xfId="0" applyFont="1" applyFill="1" applyBorder="1" applyAlignment="1">
      <alignment horizontal="center"/>
    </xf>
    <xf numFmtId="170" fontId="105" fillId="55" borderId="0" xfId="0" applyNumberFormat="1" applyFont="1" applyFill="1" applyBorder="1" applyAlignment="1">
      <alignment horizontal="center" vertical="center" wrapText="1"/>
    </xf>
    <xf numFmtId="170" fontId="106" fillId="55" borderId="0" xfId="0" applyNumberFormat="1" applyFont="1" applyFill="1" applyBorder="1" applyAlignment="1">
      <alignment horizontal="right"/>
    </xf>
    <xf numFmtId="170" fontId="105" fillId="55" borderId="0" xfId="0" applyNumberFormat="1" applyFont="1" applyFill="1" applyBorder="1" applyAlignment="1">
      <alignment horizontal="right"/>
    </xf>
    <xf numFmtId="0" fontId="108" fillId="55" borderId="0" xfId="0" applyFont="1" applyFill="1" applyBorder="1" applyAlignment="1">
      <alignment horizontal="left"/>
    </xf>
    <xf numFmtId="0" fontId="105" fillId="56" borderId="0" xfId="0" applyFont="1" applyFill="1" applyBorder="1" applyAlignment="1">
      <alignment horizontal="center" vertical="center" wrapText="1"/>
    </xf>
    <xf numFmtId="3" fontId="106" fillId="55" borderId="0" xfId="0" applyNumberFormat="1" applyFont="1" applyFill="1" applyBorder="1" applyAlignment="1">
      <alignment horizontal="center"/>
    </xf>
    <xf numFmtId="0" fontId="2" fillId="55" borderId="0" xfId="362" applyFont="1" applyFill="1" applyBorder="1" applyAlignment="1">
      <alignment wrapText="1"/>
      <protection/>
    </xf>
    <xf numFmtId="3" fontId="2" fillId="55" borderId="0" xfId="362" applyNumberFormat="1" applyFont="1" applyFill="1" applyBorder="1" applyAlignment="1">
      <alignment wrapText="1"/>
      <protection/>
    </xf>
    <xf numFmtId="0" fontId="2" fillId="55" borderId="0" xfId="362" applyFont="1" applyFill="1" applyAlignment="1">
      <alignment wrapText="1"/>
      <protection/>
    </xf>
    <xf numFmtId="0" fontId="2" fillId="55" borderId="30" xfId="362" applyFont="1" applyFill="1" applyBorder="1" applyAlignment="1">
      <alignment horizontal="center" wrapText="1"/>
      <protection/>
    </xf>
    <xf numFmtId="3" fontId="2" fillId="55" borderId="30" xfId="362" applyNumberFormat="1" applyFont="1" applyFill="1" applyBorder="1" applyAlignment="1">
      <alignment horizontal="center" wrapText="1"/>
      <protection/>
    </xf>
    <xf numFmtId="0" fontId="2" fillId="55" borderId="0" xfId="362" applyFont="1" applyFill="1" applyBorder="1" applyAlignment="1">
      <alignment horizontal="center" wrapText="1"/>
      <protection/>
    </xf>
    <xf numFmtId="3" fontId="2" fillId="55" borderId="0" xfId="362" applyNumberFormat="1" applyFont="1" applyFill="1" applyBorder="1" applyAlignment="1">
      <alignment horizontal="center" wrapText="1"/>
      <protection/>
    </xf>
    <xf numFmtId="0" fontId="117" fillId="55" borderId="0" xfId="358" applyFont="1" applyFill="1" applyAlignment="1">
      <alignment horizontal="center"/>
      <protection/>
    </xf>
    <xf numFmtId="0" fontId="105" fillId="55" borderId="28" xfId="0" applyFont="1" applyFill="1" applyBorder="1" applyAlignment="1">
      <alignment/>
    </xf>
    <xf numFmtId="0" fontId="105" fillId="55" borderId="29" xfId="0" applyFont="1" applyFill="1" applyBorder="1" applyAlignment="1">
      <alignment/>
    </xf>
    <xf numFmtId="0" fontId="105" fillId="55" borderId="28" xfId="0" applyFont="1" applyFill="1" applyBorder="1" applyAlignment="1">
      <alignment horizontal="left" vertical="center"/>
    </xf>
    <xf numFmtId="0" fontId="105" fillId="55" borderId="29" xfId="0" applyFont="1" applyFill="1" applyBorder="1" applyAlignment="1">
      <alignment horizontal="left" vertical="center"/>
    </xf>
    <xf numFmtId="0" fontId="2" fillId="0" borderId="0" xfId="362" applyFont="1" applyFill="1">
      <alignment/>
      <protection/>
    </xf>
    <xf numFmtId="3" fontId="2" fillId="0" borderId="0" xfId="362" applyNumberFormat="1" applyFont="1" applyFill="1">
      <alignment/>
      <protection/>
    </xf>
    <xf numFmtId="17" fontId="2" fillId="0" borderId="0" xfId="362" applyNumberFormat="1" applyFont="1" applyFill="1">
      <alignment/>
      <protection/>
    </xf>
    <xf numFmtId="176" fontId="2" fillId="55" borderId="0" xfId="382" applyNumberFormat="1" applyFont="1" applyFill="1" applyAlignment="1">
      <alignment/>
    </xf>
    <xf numFmtId="0" fontId="111" fillId="55" borderId="0" xfId="358" applyFont="1" applyFill="1" applyAlignment="1">
      <alignment wrapText="1"/>
      <protection/>
    </xf>
    <xf numFmtId="17" fontId="111" fillId="55" borderId="0" xfId="358" applyNumberFormat="1" applyFont="1" applyFill="1" applyAlignment="1" quotePrefix="1">
      <alignment horizontal="center"/>
      <protection/>
    </xf>
    <xf numFmtId="0" fontId="22" fillId="55" borderId="23" xfId="362" applyFont="1" applyFill="1" applyBorder="1">
      <alignment/>
      <protection/>
    </xf>
    <xf numFmtId="0" fontId="22" fillId="55" borderId="35" xfId="362" applyFont="1" applyFill="1" applyBorder="1">
      <alignment/>
      <protection/>
    </xf>
    <xf numFmtId="3" fontId="22" fillId="55" borderId="23" xfId="362" applyNumberFormat="1" applyFont="1" applyFill="1" applyBorder="1" applyAlignment="1">
      <alignment horizontal="center"/>
      <protection/>
    </xf>
    <xf numFmtId="3" fontId="22" fillId="55" borderId="24" xfId="362" applyNumberFormat="1" applyFont="1" applyFill="1" applyBorder="1" applyAlignment="1">
      <alignment horizontal="center"/>
      <protection/>
    </xf>
    <xf numFmtId="172" fontId="22" fillId="55" borderId="24" xfId="362" applyNumberFormat="1" applyFont="1" applyFill="1" applyBorder="1" applyAlignment="1">
      <alignment horizontal="center"/>
      <protection/>
    </xf>
    <xf numFmtId="169" fontId="22" fillId="55" borderId="25" xfId="362" applyNumberFormat="1" applyFont="1" applyFill="1" applyBorder="1" applyAlignment="1">
      <alignment horizontal="center"/>
      <protection/>
    </xf>
    <xf numFmtId="169" fontId="22" fillId="55" borderId="24" xfId="362" applyNumberFormat="1" applyFont="1" applyFill="1" applyBorder="1" applyAlignment="1">
      <alignment horizontal="center"/>
      <protection/>
    </xf>
    <xf numFmtId="3" fontId="22" fillId="55" borderId="35" xfId="362" applyNumberFormat="1" applyFont="1" applyFill="1" applyBorder="1" applyAlignment="1">
      <alignment horizontal="center"/>
      <protection/>
    </xf>
    <xf numFmtId="3" fontId="22" fillId="55" borderId="22" xfId="362" applyNumberFormat="1" applyFont="1" applyFill="1" applyBorder="1" applyAlignment="1">
      <alignment horizontal="center"/>
      <protection/>
    </xf>
    <xf numFmtId="172" fontId="22" fillId="55" borderId="22" xfId="362" applyNumberFormat="1" applyFont="1" applyFill="1" applyBorder="1" applyAlignment="1">
      <alignment horizontal="center"/>
      <protection/>
    </xf>
    <xf numFmtId="169" fontId="22" fillId="55" borderId="36" xfId="362" applyNumberFormat="1" applyFont="1" applyFill="1" applyBorder="1" applyAlignment="1">
      <alignment horizontal="center"/>
      <protection/>
    </xf>
    <xf numFmtId="169" fontId="22" fillId="55" borderId="22" xfId="362" applyNumberFormat="1" applyFont="1" applyFill="1" applyBorder="1" applyAlignment="1">
      <alignment horizontal="center"/>
      <protection/>
    </xf>
    <xf numFmtId="0" fontId="106" fillId="55" borderId="25" xfId="0" applyFont="1" applyFill="1" applyBorder="1" applyAlignment="1">
      <alignment/>
    </xf>
    <xf numFmtId="0" fontId="106" fillId="55" borderId="27" xfId="0" applyFont="1" applyFill="1" applyBorder="1" applyAlignment="1">
      <alignment/>
    </xf>
    <xf numFmtId="0" fontId="22" fillId="55" borderId="0" xfId="362" applyFont="1" applyFill="1" applyBorder="1" applyAlignment="1">
      <alignment/>
      <protection/>
    </xf>
    <xf numFmtId="177" fontId="2" fillId="55" borderId="0" xfId="362" applyNumberFormat="1" applyFont="1" applyFill="1">
      <alignment/>
      <protection/>
    </xf>
    <xf numFmtId="0" fontId="24" fillId="55" borderId="0" xfId="366" applyFont="1" applyFill="1" applyBorder="1" applyAlignment="1">
      <alignment vertical="center" wrapText="1"/>
      <protection/>
    </xf>
    <xf numFmtId="0" fontId="118" fillId="55" borderId="0" xfId="0" applyFont="1" applyFill="1" applyAlignment="1" quotePrefix="1">
      <alignment horizontal="center"/>
    </xf>
    <xf numFmtId="0" fontId="22" fillId="55" borderId="0" xfId="362" applyFont="1" applyFill="1" applyBorder="1" applyAlignment="1">
      <alignment horizontal="center"/>
      <protection/>
    </xf>
    <xf numFmtId="9" fontId="2" fillId="55" borderId="0" xfId="382" applyFont="1" applyFill="1" applyAlignment="1">
      <alignment/>
    </xf>
    <xf numFmtId="0" fontId="119" fillId="55" borderId="0" xfId="362" applyFont="1" applyFill="1">
      <alignment/>
      <protection/>
    </xf>
    <xf numFmtId="0" fontId="24" fillId="55" borderId="24" xfId="366" applyFont="1" applyFill="1" applyBorder="1" applyAlignment="1">
      <alignment horizontal="left" vertical="center" wrapText="1"/>
      <protection/>
    </xf>
    <xf numFmtId="0" fontId="24" fillId="55" borderId="24" xfId="362" applyFont="1" applyFill="1" applyBorder="1">
      <alignment/>
      <protection/>
    </xf>
    <xf numFmtId="3" fontId="106" fillId="55" borderId="33" xfId="0" applyNumberFormat="1" applyFont="1" applyFill="1" applyBorder="1" applyAlignment="1">
      <alignment horizontal="center"/>
    </xf>
    <xf numFmtId="3" fontId="106" fillId="55" borderId="0" xfId="0" applyNumberFormat="1" applyFont="1" applyFill="1" applyAlignment="1">
      <alignment horizontal="center"/>
    </xf>
    <xf numFmtId="0" fontId="120" fillId="55" borderId="0" xfId="0" applyFont="1" applyFill="1" applyAlignment="1">
      <alignment/>
    </xf>
    <xf numFmtId="176" fontId="120" fillId="55" borderId="0" xfId="382" applyNumberFormat="1" applyFont="1" applyFill="1" applyAlignment="1">
      <alignment/>
    </xf>
    <xf numFmtId="0" fontId="121" fillId="55" borderId="0" xfId="286" applyFont="1" applyFill="1" applyAlignment="1">
      <alignment/>
    </xf>
    <xf numFmtId="0" fontId="120" fillId="55" borderId="0" xfId="362" applyFont="1" applyFill="1">
      <alignment/>
      <protection/>
    </xf>
    <xf numFmtId="173" fontId="120" fillId="55" borderId="0" xfId="362" applyNumberFormat="1" applyFont="1" applyFill="1">
      <alignment/>
      <protection/>
    </xf>
    <xf numFmtId="178" fontId="2" fillId="55" borderId="0" xfId="300" applyNumberFormat="1" applyFont="1" applyFill="1" applyAlignment="1">
      <alignment/>
    </xf>
    <xf numFmtId="170" fontId="2" fillId="55" borderId="34" xfId="351" applyNumberFormat="1" applyFont="1" applyFill="1" applyBorder="1" applyAlignment="1">
      <alignment horizontal="center" vertical="center" wrapText="1"/>
      <protection/>
    </xf>
    <xf numFmtId="170" fontId="2" fillId="55" borderId="32" xfId="351" applyNumberFormat="1" applyFont="1" applyFill="1" applyBorder="1" applyAlignment="1">
      <alignment horizontal="center" vertical="center" wrapText="1"/>
      <protection/>
    </xf>
    <xf numFmtId="170" fontId="2" fillId="0" borderId="32" xfId="351" applyNumberFormat="1" applyFont="1" applyFill="1" applyBorder="1" applyAlignment="1">
      <alignment horizontal="center" vertical="center" wrapText="1"/>
      <protection/>
    </xf>
    <xf numFmtId="170" fontId="2" fillId="55" borderId="0" xfId="351" applyNumberFormat="1" applyFont="1" applyFill="1" applyBorder="1" applyAlignment="1">
      <alignment horizontal="center" vertical="center" wrapText="1"/>
      <protection/>
    </xf>
    <xf numFmtId="170" fontId="22" fillId="55" borderId="20" xfId="351" applyNumberFormat="1" applyFont="1" applyFill="1" applyBorder="1" applyAlignment="1">
      <alignment horizontal="center" vertical="center" wrapText="1"/>
      <protection/>
    </xf>
    <xf numFmtId="170" fontId="22" fillId="0" borderId="20" xfId="351" applyNumberFormat="1" applyFont="1" applyFill="1" applyBorder="1" applyAlignment="1">
      <alignment horizontal="center" vertical="center" wrapText="1"/>
      <protection/>
    </xf>
    <xf numFmtId="170" fontId="22" fillId="55" borderId="19" xfId="351" applyNumberFormat="1" applyFont="1" applyFill="1" applyBorder="1" applyAlignment="1">
      <alignment horizontal="center" vertical="center" wrapText="1"/>
      <protection/>
    </xf>
    <xf numFmtId="17" fontId="2" fillId="55" borderId="0" xfId="362" applyNumberFormat="1" applyFont="1" applyFill="1">
      <alignment/>
      <protection/>
    </xf>
    <xf numFmtId="0" fontId="106" fillId="55" borderId="37" xfId="0" applyFont="1" applyFill="1" applyBorder="1" applyAlignment="1">
      <alignment horizontal="left" vertical="center"/>
    </xf>
    <xf numFmtId="3" fontId="106" fillId="55" borderId="0" xfId="0" applyNumberFormat="1" applyFont="1" applyFill="1" applyBorder="1" applyAlignment="1">
      <alignment horizontal="right" vertical="center"/>
    </xf>
    <xf numFmtId="170" fontId="106" fillId="55" borderId="27" xfId="0" applyNumberFormat="1" applyFont="1" applyFill="1" applyBorder="1" applyAlignment="1">
      <alignment horizontal="right" vertical="center"/>
    </xf>
    <xf numFmtId="176" fontId="106" fillId="55" borderId="0" xfId="382" applyNumberFormat="1" applyFont="1" applyFill="1" applyAlignment="1">
      <alignment/>
    </xf>
    <xf numFmtId="170" fontId="120" fillId="55" borderId="0" xfId="362" applyNumberFormat="1" applyFont="1" applyFill="1">
      <alignment/>
      <protection/>
    </xf>
    <xf numFmtId="0" fontId="22" fillId="55" borderId="0" xfId="362" applyFont="1" applyFill="1" applyBorder="1" applyAlignment="1">
      <alignment horizontal="center" vertical="center"/>
      <protection/>
    </xf>
    <xf numFmtId="0" fontId="2" fillId="55" borderId="0" xfId="362" applyFont="1" applyFill="1" applyBorder="1" applyAlignment="1">
      <alignment horizontal="left" vertical="top" wrapText="1"/>
      <protection/>
    </xf>
    <xf numFmtId="0" fontId="22" fillId="55" borderId="0" xfId="362" applyFont="1" applyFill="1" applyBorder="1" applyAlignment="1">
      <alignment horizontal="center"/>
      <protection/>
    </xf>
    <xf numFmtId="3" fontId="120" fillId="55" borderId="0" xfId="0" applyNumberFormat="1" applyFont="1" applyFill="1" applyAlignment="1">
      <alignment/>
    </xf>
    <xf numFmtId="0" fontId="2" fillId="55" borderId="0" xfId="0" applyFont="1" applyFill="1" applyAlignment="1">
      <alignment/>
    </xf>
    <xf numFmtId="176" fontId="119" fillId="55" borderId="0" xfId="382" applyNumberFormat="1" applyFont="1" applyFill="1" applyAlignment="1">
      <alignment/>
    </xf>
    <xf numFmtId="0" fontId="2" fillId="55" borderId="27" xfId="362" applyFont="1" applyFill="1" applyBorder="1">
      <alignment/>
      <protection/>
    </xf>
    <xf numFmtId="0" fontId="105" fillId="56" borderId="0" xfId="0" applyFont="1" applyFill="1" applyBorder="1" applyAlignment="1">
      <alignment horizontal="center"/>
    </xf>
    <xf numFmtId="0" fontId="105" fillId="56" borderId="38" xfId="0" applyFont="1" applyFill="1" applyBorder="1" applyAlignment="1">
      <alignment vertical="center"/>
    </xf>
    <xf numFmtId="0" fontId="105" fillId="56" borderId="35" xfId="0" applyFont="1" applyFill="1" applyBorder="1" applyAlignment="1">
      <alignment horizontal="center" vertical="center" wrapText="1"/>
    </xf>
    <xf numFmtId="0" fontId="105" fillId="56" borderId="22" xfId="0" applyFont="1" applyFill="1" applyBorder="1" applyAlignment="1">
      <alignment horizontal="center" vertical="center" wrapText="1"/>
    </xf>
    <xf numFmtId="0" fontId="105" fillId="56" borderId="36" xfId="0" applyFont="1" applyFill="1" applyBorder="1" applyAlignment="1">
      <alignment horizontal="center" vertical="center" wrapText="1"/>
    </xf>
    <xf numFmtId="175" fontId="106" fillId="55" borderId="39" xfId="0" applyNumberFormat="1" applyFont="1" applyFill="1" applyBorder="1" applyAlignment="1">
      <alignment horizontal="left"/>
    </xf>
    <xf numFmtId="3" fontId="106" fillId="55" borderId="40" xfId="0" applyNumberFormat="1" applyFont="1" applyFill="1" applyBorder="1" applyAlignment="1">
      <alignment horizontal="center"/>
    </xf>
    <xf numFmtId="3" fontId="106" fillId="55" borderId="41" xfId="0" applyNumberFormat="1" applyFont="1" applyFill="1" applyBorder="1" applyAlignment="1">
      <alignment horizontal="center"/>
    </xf>
    <xf numFmtId="175" fontId="106" fillId="55" borderId="42" xfId="0" applyNumberFormat="1" applyFont="1" applyFill="1" applyBorder="1" applyAlignment="1">
      <alignment horizontal="left"/>
    </xf>
    <xf numFmtId="3" fontId="106" fillId="55" borderId="35" xfId="0" applyNumberFormat="1" applyFont="1" applyFill="1" applyBorder="1" applyAlignment="1">
      <alignment horizontal="center"/>
    </xf>
    <xf numFmtId="3" fontId="106" fillId="55" borderId="36" xfId="0" applyNumberFormat="1" applyFont="1" applyFill="1" applyBorder="1" applyAlignment="1">
      <alignment horizontal="center"/>
    </xf>
    <xf numFmtId="3" fontId="2" fillId="55" borderId="0" xfId="0" applyNumberFormat="1" applyFont="1" applyFill="1" applyAlignment="1">
      <alignment/>
    </xf>
    <xf numFmtId="0" fontId="91" fillId="55" borderId="0" xfId="286" applyFill="1" applyBorder="1" applyAlignment="1" applyProtection="1">
      <alignment horizontal="right"/>
      <protection/>
    </xf>
    <xf numFmtId="0" fontId="22" fillId="55" borderId="38" xfId="0" applyFont="1" applyFill="1" applyBorder="1" applyAlignment="1">
      <alignment horizontal="center" vertical="center" wrapText="1"/>
    </xf>
    <xf numFmtId="0" fontId="22" fillId="55" borderId="38" xfId="0" applyFont="1" applyFill="1" applyBorder="1" applyAlignment="1">
      <alignment vertical="center" wrapText="1"/>
    </xf>
    <xf numFmtId="180" fontId="2" fillId="55" borderId="38" xfId="301" applyNumberFormat="1" applyFont="1" applyFill="1" applyBorder="1" applyAlignment="1">
      <alignment horizontal="center" vertical="center" wrapText="1"/>
    </xf>
    <xf numFmtId="164" fontId="2" fillId="55" borderId="38" xfId="336" applyNumberFormat="1" applyFont="1" applyFill="1" applyBorder="1" applyAlignment="1">
      <alignment horizontal="center" vertical="center" wrapText="1"/>
    </xf>
    <xf numFmtId="0" fontId="22" fillId="55" borderId="38" xfId="0" applyFont="1" applyFill="1" applyBorder="1" applyAlignment="1">
      <alignment vertical="center"/>
    </xf>
    <xf numFmtId="0" fontId="33" fillId="55" borderId="38" xfId="0" applyFont="1" applyFill="1" applyBorder="1" applyAlignment="1">
      <alignment horizontal="right" vertical="center" wrapText="1"/>
    </xf>
    <xf numFmtId="164" fontId="34" fillId="55" borderId="38" xfId="336" applyNumberFormat="1" applyFont="1" applyFill="1" applyBorder="1" applyAlignment="1">
      <alignment horizontal="right" vertical="center" wrapText="1"/>
    </xf>
    <xf numFmtId="0" fontId="33" fillId="55" borderId="38" xfId="0" applyFont="1" applyFill="1" applyBorder="1" applyAlignment="1">
      <alignment horizontal="right"/>
    </xf>
    <xf numFmtId="164" fontId="33" fillId="55" borderId="38" xfId="336" applyNumberFormat="1" applyFont="1" applyFill="1" applyBorder="1" applyAlignment="1">
      <alignment horizontal="right" vertical="center" wrapText="1"/>
    </xf>
    <xf numFmtId="0" fontId="22" fillId="55" borderId="0" xfId="0" applyFont="1" applyFill="1" applyBorder="1" applyAlignment="1">
      <alignment/>
    </xf>
    <xf numFmtId="164" fontId="34" fillId="55" borderId="0" xfId="336" applyNumberFormat="1" applyFont="1" applyFill="1" applyBorder="1" applyAlignment="1">
      <alignment vertical="center" wrapText="1"/>
    </xf>
    <xf numFmtId="3" fontId="22" fillId="55" borderId="38" xfId="300" applyNumberFormat="1" applyFont="1" applyFill="1" applyBorder="1" applyAlignment="1">
      <alignment horizontal="center" vertical="center"/>
    </xf>
    <xf numFmtId="0" fontId="2" fillId="55" borderId="0" xfId="0" applyFont="1" applyFill="1" applyBorder="1" applyAlignment="1">
      <alignment vertical="center"/>
    </xf>
    <xf numFmtId="0" fontId="106" fillId="55" borderId="0" xfId="0" applyFont="1" applyFill="1" applyBorder="1" applyAlignment="1">
      <alignment/>
    </xf>
    <xf numFmtId="3" fontId="22" fillId="55" borderId="0" xfId="300" applyNumberFormat="1" applyFont="1" applyFill="1" applyBorder="1" applyAlignment="1">
      <alignment horizontal="center" vertical="center"/>
    </xf>
    <xf numFmtId="164" fontId="2" fillId="55" borderId="0" xfId="336" applyNumberFormat="1" applyFont="1" applyFill="1" applyBorder="1" applyAlignment="1">
      <alignment horizontal="center" vertical="center" wrapText="1"/>
    </xf>
    <xf numFmtId="164" fontId="34" fillId="55" borderId="38" xfId="336" applyNumberFormat="1" applyFont="1" applyFill="1" applyBorder="1" applyAlignment="1">
      <alignment horizontal="center" vertical="center" wrapText="1"/>
    </xf>
    <xf numFmtId="0" fontId="22" fillId="55" borderId="38" xfId="0" applyFont="1" applyFill="1" applyBorder="1" applyAlignment="1">
      <alignment horizontal="left"/>
    </xf>
    <xf numFmtId="0" fontId="122" fillId="55" borderId="0" xfId="358" applyFont="1" applyFill="1" applyAlignment="1">
      <alignment horizontal="center"/>
      <protection/>
    </xf>
    <xf numFmtId="0" fontId="105" fillId="55" borderId="0" xfId="358" applyFont="1" applyFill="1" applyAlignment="1">
      <alignment horizontal="center" vertical="center"/>
      <protection/>
    </xf>
    <xf numFmtId="0" fontId="37" fillId="55" borderId="0" xfId="362" applyFont="1" applyFill="1" applyBorder="1" applyAlignment="1">
      <alignment horizontal="center" vertical="center"/>
      <protection/>
    </xf>
    <xf numFmtId="0" fontId="38" fillId="55" borderId="0" xfId="362" applyFont="1" applyFill="1">
      <alignment/>
      <protection/>
    </xf>
    <xf numFmtId="0" fontId="38" fillId="55" borderId="0" xfId="362" applyFont="1" applyFill="1" applyBorder="1">
      <alignment/>
      <protection/>
    </xf>
    <xf numFmtId="0" fontId="38" fillId="55" borderId="0" xfId="362" applyFont="1" applyFill="1" applyBorder="1" applyAlignment="1">
      <alignment horizontal="left" vertical="top" wrapText="1"/>
      <protection/>
    </xf>
    <xf numFmtId="16" fontId="106" fillId="55" borderId="0" xfId="0" applyNumberFormat="1" applyFont="1" applyFill="1" applyAlignment="1">
      <alignment/>
    </xf>
    <xf numFmtId="0" fontId="2" fillId="55" borderId="0" xfId="362" applyNumberFormat="1" applyFont="1" applyFill="1">
      <alignment/>
      <protection/>
    </xf>
    <xf numFmtId="164" fontId="123" fillId="55" borderId="38" xfId="336" applyNumberFormat="1" applyFont="1" applyFill="1" applyBorder="1" applyAlignment="1">
      <alignment horizontal="center" vertical="center" wrapText="1"/>
    </xf>
    <xf numFmtId="0" fontId="120" fillId="55" borderId="0" xfId="362" applyNumberFormat="1" applyFont="1" applyFill="1">
      <alignment/>
      <protection/>
    </xf>
    <xf numFmtId="0" fontId="106" fillId="55" borderId="37" xfId="0" applyFont="1" applyFill="1" applyBorder="1" applyAlignment="1">
      <alignment horizontal="left" vertical="center" wrapText="1"/>
    </xf>
    <xf numFmtId="3" fontId="105" fillId="55" borderId="28" xfId="0" applyNumberFormat="1" applyFont="1" applyFill="1" applyBorder="1" applyAlignment="1" quotePrefix="1">
      <alignment horizontal="center" vertical="center" wrapText="1"/>
    </xf>
    <xf numFmtId="3" fontId="105" fillId="55" borderId="21" xfId="0" applyNumberFormat="1" applyFont="1" applyFill="1" applyBorder="1" applyAlignment="1" quotePrefix="1">
      <alignment horizontal="center" vertical="center" wrapText="1"/>
    </xf>
    <xf numFmtId="170" fontId="105" fillId="55" borderId="21" xfId="0" applyNumberFormat="1" applyFont="1" applyFill="1" applyBorder="1" applyAlignment="1">
      <alignment horizontal="center" vertical="center" wrapText="1"/>
    </xf>
    <xf numFmtId="3" fontId="105" fillId="55" borderId="21" xfId="0" applyNumberFormat="1" applyFont="1" applyFill="1" applyBorder="1" applyAlignment="1">
      <alignment horizontal="center" vertical="center" wrapText="1"/>
    </xf>
    <xf numFmtId="170" fontId="105" fillId="55" borderId="29" xfId="0" applyNumberFormat="1" applyFont="1" applyFill="1" applyBorder="1" applyAlignment="1">
      <alignment horizontal="center" vertical="center" wrapText="1"/>
    </xf>
    <xf numFmtId="0" fontId="105" fillId="55" borderId="0" xfId="0" applyFont="1" applyFill="1" applyBorder="1" applyAlignment="1">
      <alignment/>
    </xf>
    <xf numFmtId="3" fontId="105" fillId="55" borderId="0" xfId="0" applyNumberFormat="1" applyFont="1" applyFill="1" applyBorder="1" applyAlignment="1">
      <alignment/>
    </xf>
    <xf numFmtId="0" fontId="124" fillId="55" borderId="0" xfId="0" applyFont="1" applyFill="1" applyAlignment="1">
      <alignment/>
    </xf>
    <xf numFmtId="170" fontId="34" fillId="55" borderId="0" xfId="305" applyNumberFormat="1" applyFont="1" applyFill="1" applyBorder="1" applyAlignment="1">
      <alignment horizontal="center" vertical="center"/>
    </xf>
    <xf numFmtId="3" fontId="34" fillId="55" borderId="0" xfId="305" applyNumberFormat="1" applyFont="1" applyFill="1" applyBorder="1" applyAlignment="1">
      <alignment horizontal="center" vertical="center"/>
    </xf>
    <xf numFmtId="0" fontId="2" fillId="55" borderId="0" xfId="366" applyFont="1" applyFill="1" applyBorder="1" applyAlignment="1">
      <alignment horizontal="center"/>
      <protection/>
    </xf>
    <xf numFmtId="0" fontId="106" fillId="55" borderId="0" xfId="0" applyFont="1" applyFill="1" applyAlignment="1">
      <alignment/>
    </xf>
    <xf numFmtId="3" fontId="106" fillId="55" borderId="23" xfId="0" applyNumberFormat="1" applyFont="1" applyFill="1" applyBorder="1" applyAlignment="1">
      <alignment/>
    </xf>
    <xf numFmtId="3" fontId="106" fillId="55" borderId="24" xfId="0" applyNumberFormat="1" applyFont="1" applyFill="1" applyBorder="1" applyAlignment="1">
      <alignment/>
    </xf>
    <xf numFmtId="170" fontId="106" fillId="55" borderId="25" xfId="0" applyNumberFormat="1" applyFont="1" applyFill="1" applyBorder="1" applyAlignment="1">
      <alignment horizontal="right"/>
    </xf>
    <xf numFmtId="3" fontId="106" fillId="55" borderId="26" xfId="0" applyNumberFormat="1" applyFont="1" applyFill="1" applyBorder="1" applyAlignment="1">
      <alignment/>
    </xf>
    <xf numFmtId="3" fontId="106" fillId="55" borderId="0" xfId="0" applyNumberFormat="1" applyFont="1" applyFill="1" applyBorder="1" applyAlignment="1">
      <alignment/>
    </xf>
    <xf numFmtId="170" fontId="106" fillId="55" borderId="27" xfId="0" applyNumberFormat="1" applyFont="1" applyFill="1" applyBorder="1" applyAlignment="1">
      <alignment horizontal="right"/>
    </xf>
    <xf numFmtId="3" fontId="105" fillId="55" borderId="23" xfId="0" applyNumberFormat="1" applyFont="1" applyFill="1" applyBorder="1" applyAlignment="1">
      <alignment/>
    </xf>
    <xf numFmtId="3" fontId="105" fillId="55" borderId="24" xfId="0" applyNumberFormat="1" applyFont="1" applyFill="1" applyBorder="1" applyAlignment="1">
      <alignment/>
    </xf>
    <xf numFmtId="0" fontId="106" fillId="55" borderId="24" xfId="0" applyFont="1" applyFill="1" applyBorder="1" applyAlignment="1">
      <alignment/>
    </xf>
    <xf numFmtId="0" fontId="106" fillId="55" borderId="0" xfId="0" applyFont="1" applyFill="1" applyBorder="1" applyAlignment="1">
      <alignment/>
    </xf>
    <xf numFmtId="170" fontId="106" fillId="55" borderId="0" xfId="0" applyNumberFormat="1" applyFont="1" applyFill="1" applyBorder="1" applyAlignment="1">
      <alignment horizontal="right"/>
    </xf>
    <xf numFmtId="0" fontId="105" fillId="55" borderId="28" xfId="0" applyFont="1" applyFill="1" applyBorder="1" applyAlignment="1">
      <alignment/>
    </xf>
    <xf numFmtId="0" fontId="105" fillId="55" borderId="29" xfId="0" applyFont="1" applyFill="1" applyBorder="1" applyAlignment="1">
      <alignment/>
    </xf>
    <xf numFmtId="0" fontId="106" fillId="55" borderId="27" xfId="0" applyFont="1" applyFill="1" applyBorder="1" applyAlignment="1">
      <alignment/>
    </xf>
    <xf numFmtId="0" fontId="24" fillId="55" borderId="0" xfId="366" applyFont="1" applyFill="1" applyBorder="1" applyAlignment="1">
      <alignment vertical="center" wrapText="1"/>
      <protection/>
    </xf>
    <xf numFmtId="0" fontId="106" fillId="55" borderId="37" xfId="0" applyFont="1" applyFill="1" applyBorder="1" applyAlignment="1">
      <alignment horizontal="left" vertical="center" wrapText="1"/>
    </xf>
    <xf numFmtId="0" fontId="22" fillId="55" borderId="42" xfId="0" applyFont="1" applyFill="1" applyBorder="1" applyAlignment="1">
      <alignment horizontal="left"/>
    </xf>
    <xf numFmtId="3" fontId="2" fillId="55" borderId="42" xfId="300" applyNumberFormat="1" applyFont="1" applyFill="1" applyBorder="1" applyAlignment="1">
      <alignment horizontal="center" vertical="center"/>
    </xf>
    <xf numFmtId="3" fontId="22" fillId="55" borderId="42" xfId="0" applyNumberFormat="1" applyFont="1" applyFill="1" applyBorder="1" applyAlignment="1">
      <alignment horizontal="center"/>
    </xf>
    <xf numFmtId="0" fontId="125" fillId="55" borderId="0" xfId="362" applyFont="1" applyFill="1" applyBorder="1" applyAlignment="1">
      <alignment horizontal="center"/>
      <protection/>
    </xf>
    <xf numFmtId="0" fontId="106" fillId="55" borderId="37" xfId="0" applyFont="1" applyFill="1" applyBorder="1" applyAlignment="1">
      <alignment horizontal="left" vertical="center" wrapText="1"/>
    </xf>
    <xf numFmtId="9" fontId="120" fillId="55" borderId="0" xfId="382" applyFont="1" applyFill="1" applyAlignment="1">
      <alignment/>
    </xf>
    <xf numFmtId="0" fontId="119" fillId="55" borderId="0" xfId="0" applyFont="1" applyFill="1" applyAlignment="1">
      <alignment/>
    </xf>
    <xf numFmtId="0" fontId="126" fillId="55" borderId="0" xfId="0" applyFont="1" applyFill="1" applyAlignment="1">
      <alignment horizontal="center" vertical="center" wrapText="1"/>
    </xf>
    <xf numFmtId="3" fontId="119" fillId="55" borderId="0" xfId="0" applyNumberFormat="1" applyFont="1" applyFill="1" applyAlignment="1">
      <alignment/>
    </xf>
    <xf numFmtId="43" fontId="119" fillId="55" borderId="0" xfId="300" applyFont="1" applyFill="1" applyAlignment="1">
      <alignment/>
    </xf>
    <xf numFmtId="0" fontId="126" fillId="55" borderId="0" xfId="0" applyFont="1" applyFill="1" applyAlignment="1">
      <alignment horizontal="center" vertical="center"/>
    </xf>
    <xf numFmtId="0" fontId="83" fillId="55" borderId="0" xfId="0" applyFont="1" applyFill="1" applyAlignment="1">
      <alignment/>
    </xf>
    <xf numFmtId="9" fontId="83" fillId="55" borderId="0" xfId="382" applyFont="1" applyFill="1" applyAlignment="1">
      <alignment/>
    </xf>
    <xf numFmtId="1" fontId="83" fillId="55" borderId="0" xfId="0" applyNumberFormat="1" applyFont="1" applyFill="1" applyAlignment="1">
      <alignment/>
    </xf>
    <xf numFmtId="9" fontId="83" fillId="55" borderId="0" xfId="382" applyFont="1" applyFill="1" applyAlignment="1">
      <alignment horizontal="center"/>
    </xf>
    <xf numFmtId="3" fontId="0" fillId="0" borderId="0" xfId="0" applyNumberFormat="1" applyAlignment="1">
      <alignment/>
    </xf>
    <xf numFmtId="0" fontId="83" fillId="0" borderId="0" xfId="0" applyFont="1" applyAlignment="1">
      <alignment/>
    </xf>
    <xf numFmtId="0" fontId="22" fillId="55" borderId="0" xfId="362" applyFont="1" applyFill="1" applyBorder="1" applyAlignment="1">
      <alignment horizontal="center"/>
      <protection/>
    </xf>
    <xf numFmtId="0" fontId="22" fillId="55" borderId="0" xfId="362" applyFont="1" applyFill="1" applyBorder="1" applyAlignment="1">
      <alignment horizontal="center" vertical="center"/>
      <protection/>
    </xf>
    <xf numFmtId="0" fontId="22" fillId="55" borderId="0" xfId="362" applyFont="1" applyFill="1" applyBorder="1" applyAlignment="1">
      <alignment horizontal="center"/>
      <protection/>
    </xf>
    <xf numFmtId="0" fontId="22" fillId="55" borderId="3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170" fontId="2" fillId="55" borderId="0" xfId="362" applyNumberFormat="1" applyFont="1" applyFill="1">
      <alignment/>
      <protection/>
    </xf>
    <xf numFmtId="0" fontId="2" fillId="55" borderId="0" xfId="362" applyFont="1" applyFill="1" applyBorder="1" applyAlignment="1">
      <alignment vertical="center" wrapText="1"/>
      <protection/>
    </xf>
    <xf numFmtId="0" fontId="2" fillId="55" borderId="0" xfId="0" applyFont="1" applyFill="1" applyBorder="1" applyAlignment="1">
      <alignment horizontal="left" vertical="center" wrapText="1"/>
    </xf>
    <xf numFmtId="0" fontId="120" fillId="55" borderId="0" xfId="0" applyFont="1" applyFill="1" applyBorder="1" applyAlignment="1">
      <alignment horizontal="left" vertical="center" wrapText="1"/>
    </xf>
    <xf numFmtId="0" fontId="7" fillId="55" borderId="0" xfId="0" applyFont="1" applyFill="1" applyAlignment="1">
      <alignment/>
    </xf>
    <xf numFmtId="0" fontId="34" fillId="55" borderId="0" xfId="362" applyFont="1" applyFill="1">
      <alignment/>
      <protection/>
    </xf>
    <xf numFmtId="3" fontId="120" fillId="55" borderId="0" xfId="362" applyNumberFormat="1" applyFont="1" applyFill="1" applyBorder="1" applyAlignment="1">
      <alignment horizontal="center"/>
      <protection/>
    </xf>
    <xf numFmtId="0" fontId="127" fillId="55" borderId="0" xfId="362" applyFont="1" applyFill="1">
      <alignment/>
      <protection/>
    </xf>
    <xf numFmtId="176" fontId="127" fillId="55" borderId="0" xfId="382" applyNumberFormat="1" applyFont="1" applyFill="1" applyAlignment="1">
      <alignment/>
    </xf>
    <xf numFmtId="0" fontId="120" fillId="55" borderId="0" xfId="362" applyFont="1" applyFill="1" applyAlignment="1">
      <alignment horizontal="center"/>
      <protection/>
    </xf>
    <xf numFmtId="3" fontId="127" fillId="55" borderId="0" xfId="362" applyNumberFormat="1" applyFont="1" applyFill="1" applyBorder="1" applyAlignment="1">
      <alignment horizontal="center"/>
      <protection/>
    </xf>
    <xf numFmtId="3" fontId="120" fillId="55" borderId="0" xfId="362" applyNumberFormat="1" applyFont="1" applyFill="1">
      <alignment/>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2" fillId="55" borderId="0" xfId="362" applyNumberFormat="1" applyFont="1" applyFill="1" applyBorder="1" applyAlignment="1">
      <alignment/>
      <protection/>
    </xf>
    <xf numFmtId="0" fontId="120" fillId="55" borderId="0" xfId="362" applyFont="1" applyFill="1" applyAlignment="1">
      <alignment wrapText="1"/>
      <protection/>
    </xf>
    <xf numFmtId="176" fontId="120" fillId="55" borderId="0" xfId="382" applyNumberFormat="1" applyFont="1" applyFill="1" applyAlignment="1">
      <alignment wrapText="1"/>
    </xf>
    <xf numFmtId="176" fontId="120" fillId="55" borderId="0" xfId="362" applyNumberFormat="1" applyFont="1" applyFill="1" applyAlignment="1">
      <alignment wrapText="1"/>
      <protection/>
    </xf>
    <xf numFmtId="0" fontId="2" fillId="55" borderId="0" xfId="362" applyFont="1" applyFill="1" applyAlignment="1">
      <alignment/>
      <protection/>
    </xf>
    <xf numFmtId="0" fontId="34" fillId="55" borderId="0" xfId="362" applyFont="1" applyFill="1" applyAlignment="1">
      <alignment/>
      <protection/>
    </xf>
    <xf numFmtId="0" fontId="120" fillId="55" borderId="0" xfId="362" applyFont="1" applyFill="1" applyBorder="1">
      <alignment/>
      <protection/>
    </xf>
    <xf numFmtId="0" fontId="125" fillId="55" borderId="0" xfId="362" applyFont="1" applyFill="1" applyBorder="1" applyAlignment="1">
      <alignment horizontal="center" vertical="center" wrapText="1"/>
      <protection/>
    </xf>
    <xf numFmtId="170" fontId="120" fillId="55" borderId="0" xfId="362" applyNumberFormat="1" applyFont="1" applyFill="1" applyBorder="1">
      <alignment/>
      <protection/>
    </xf>
    <xf numFmtId="0" fontId="126" fillId="55" borderId="0" xfId="0" applyFont="1" applyFill="1" applyBorder="1" applyAlignment="1">
      <alignment horizontal="center" vertical="center" wrapText="1"/>
    </xf>
    <xf numFmtId="176" fontId="119" fillId="55" borderId="0" xfId="382" applyNumberFormat="1" applyFont="1" applyFill="1" applyAlignment="1">
      <alignment horizontal="center"/>
    </xf>
    <xf numFmtId="0" fontId="119" fillId="55" borderId="0" xfId="0" applyFont="1" applyFill="1" applyAlignment="1">
      <alignment horizontal="center"/>
    </xf>
    <xf numFmtId="0" fontId="119" fillId="55" borderId="0" xfId="0" applyFont="1" applyFill="1" applyAlignment="1">
      <alignment horizontal="right"/>
    </xf>
    <xf numFmtId="3" fontId="119" fillId="55" borderId="0" xfId="0" applyNumberFormat="1" applyFont="1" applyFill="1" applyAlignment="1">
      <alignment horizontal="center"/>
    </xf>
    <xf numFmtId="9" fontId="119" fillId="55" borderId="0" xfId="382" applyFont="1" applyFill="1" applyAlignment="1">
      <alignment horizontal="center"/>
    </xf>
    <xf numFmtId="0" fontId="128" fillId="55" borderId="0" xfId="286" applyFont="1" applyFill="1" applyAlignment="1">
      <alignment/>
    </xf>
    <xf numFmtId="179" fontId="119" fillId="55" borderId="0" xfId="300" applyNumberFormat="1" applyFont="1" applyFill="1" applyAlignment="1">
      <alignment horizontal="center"/>
    </xf>
    <xf numFmtId="9" fontId="126" fillId="55" borderId="0" xfId="0" applyNumberFormat="1" applyFont="1" applyFill="1" applyAlignment="1">
      <alignment horizontal="center"/>
    </xf>
    <xf numFmtId="176" fontId="126" fillId="55" borderId="0" xfId="0" applyNumberFormat="1" applyFont="1" applyFill="1" applyAlignment="1">
      <alignment horizontal="center"/>
    </xf>
    <xf numFmtId="9" fontId="119" fillId="55" borderId="0" xfId="382" applyFont="1" applyFill="1" applyAlignment="1">
      <alignment/>
    </xf>
    <xf numFmtId="0" fontId="126" fillId="56" borderId="0" xfId="0" applyFont="1" applyFill="1" applyBorder="1" applyAlignment="1">
      <alignment horizontal="center" vertical="center"/>
    </xf>
    <xf numFmtId="3" fontId="126" fillId="55" borderId="0" xfId="0" applyNumberFormat="1" applyFont="1" applyFill="1" applyAlignment="1">
      <alignment horizontal="right"/>
    </xf>
    <xf numFmtId="0" fontId="126" fillId="55" borderId="0" xfId="0" applyFont="1" applyFill="1" applyAlignment="1">
      <alignment horizontal="right"/>
    </xf>
    <xf numFmtId="0" fontId="119" fillId="55" borderId="0" xfId="362" applyFont="1" applyFill="1" applyAlignment="1">
      <alignment horizontal="center"/>
      <protection/>
    </xf>
    <xf numFmtId="9" fontId="119" fillId="14" borderId="0" xfId="382" applyFont="1" applyFill="1" applyAlignment="1">
      <alignment horizontal="center"/>
    </xf>
    <xf numFmtId="176" fontId="119" fillId="14" borderId="0" xfId="382" applyNumberFormat="1" applyFont="1" applyFill="1" applyAlignment="1">
      <alignment horizontal="right" vertical="center"/>
    </xf>
    <xf numFmtId="0" fontId="126" fillId="55" borderId="0" xfId="362" applyFont="1" applyFill="1" applyBorder="1" applyAlignment="1">
      <alignment horizontal="center"/>
      <protection/>
    </xf>
    <xf numFmtId="0" fontId="119" fillId="55" borderId="0" xfId="362" applyFont="1" applyFill="1" applyBorder="1">
      <alignment/>
      <protection/>
    </xf>
    <xf numFmtId="0" fontId="126" fillId="55" borderId="0" xfId="362" applyFont="1" applyFill="1" applyBorder="1" applyAlignment="1">
      <alignment horizontal="center" vertical="center" wrapText="1"/>
      <protection/>
    </xf>
    <xf numFmtId="17" fontId="122" fillId="55" borderId="0" xfId="0" applyNumberFormat="1" applyFont="1" applyFill="1" applyAlignment="1" quotePrefix="1">
      <alignment horizontal="center"/>
    </xf>
    <xf numFmtId="0" fontId="122" fillId="55" borderId="0" xfId="0" applyFont="1" applyFill="1" applyAlignment="1">
      <alignment horizontal="center"/>
    </xf>
    <xf numFmtId="0" fontId="38" fillId="55" borderId="0" xfId="362" applyFont="1" applyFill="1" applyBorder="1" applyAlignment="1">
      <alignment horizontal="left" vertical="top" wrapText="1" indent="3"/>
      <protection/>
    </xf>
    <xf numFmtId="0" fontId="37" fillId="55" borderId="0" xfId="362" applyFont="1" applyFill="1" applyBorder="1" applyAlignment="1">
      <alignment horizontal="center" vertical="center"/>
      <protection/>
    </xf>
    <xf numFmtId="0" fontId="38" fillId="55" borderId="0" xfId="362" applyFont="1" applyFill="1" applyBorder="1" applyAlignment="1">
      <alignment horizontal="left" vertical="top" wrapText="1"/>
      <protection/>
    </xf>
    <xf numFmtId="0" fontId="22" fillId="55" borderId="0" xfId="372" applyFont="1" applyFill="1" applyBorder="1" applyAlignment="1" applyProtection="1">
      <alignment horizontal="center" vertical="center"/>
      <protection/>
    </xf>
    <xf numFmtId="0" fontId="22" fillId="55" borderId="23" xfId="362" applyFont="1" applyFill="1" applyBorder="1" applyAlignment="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 fillId="55" borderId="26" xfId="366" applyFont="1" applyFill="1" applyBorder="1" applyAlignment="1">
      <alignment horizontal="left" vertical="top" wrapText="1"/>
      <protection/>
    </xf>
    <xf numFmtId="0" fontId="2" fillId="55" borderId="0" xfId="366" applyFont="1" applyFill="1" applyBorder="1" applyAlignment="1">
      <alignment horizontal="left" vertical="top" wrapText="1"/>
      <protection/>
    </xf>
    <xf numFmtId="0" fontId="2" fillId="55" borderId="27" xfId="366" applyFont="1" applyFill="1" applyBorder="1" applyAlignment="1">
      <alignment horizontal="left" vertical="top" wrapText="1"/>
      <protection/>
    </xf>
    <xf numFmtId="0" fontId="2" fillId="55" borderId="26" xfId="362" applyFont="1" applyFill="1" applyBorder="1" applyAlignment="1">
      <alignment horizontal="left" vertical="top" wrapText="1"/>
      <protection/>
    </xf>
    <xf numFmtId="0" fontId="2" fillId="55" borderId="0" xfId="362" applyFont="1" applyFill="1" applyBorder="1" applyAlignment="1">
      <alignment horizontal="left" vertical="top" wrapText="1"/>
      <protection/>
    </xf>
    <xf numFmtId="0" fontId="2" fillId="55" borderId="27" xfId="362" applyFont="1" applyFill="1" applyBorder="1" applyAlignment="1">
      <alignment horizontal="left" vertical="top" wrapText="1"/>
      <protection/>
    </xf>
    <xf numFmtId="0" fontId="2" fillId="55" borderId="35" xfId="362" applyFont="1" applyFill="1" applyBorder="1" applyAlignment="1">
      <alignment horizontal="left" vertical="top" wrapText="1"/>
      <protection/>
    </xf>
    <xf numFmtId="0" fontId="2" fillId="55" borderId="22" xfId="362" applyFont="1" applyFill="1" applyBorder="1" applyAlignment="1">
      <alignment horizontal="left" vertical="top" wrapText="1"/>
      <protection/>
    </xf>
    <xf numFmtId="0" fontId="2" fillId="55" borderId="36" xfId="362" applyFont="1" applyFill="1" applyBorder="1" applyAlignment="1">
      <alignment horizontal="left" vertical="top" wrapText="1"/>
      <protection/>
    </xf>
    <xf numFmtId="0" fontId="2" fillId="55" borderId="30" xfId="362" applyFont="1" applyFill="1" applyBorder="1" applyAlignment="1">
      <alignment horizontal="left" vertical="center" wrapText="1"/>
      <protection/>
    </xf>
    <xf numFmtId="0" fontId="22" fillId="55" borderId="20" xfId="362" applyFont="1" applyFill="1" applyBorder="1" applyAlignment="1">
      <alignment horizontal="center"/>
      <protection/>
    </xf>
    <xf numFmtId="0" fontId="22" fillId="55" borderId="30" xfId="362" applyFont="1" applyFill="1" applyBorder="1" applyAlignment="1">
      <alignment horizontal="left" vertical="center"/>
      <protection/>
    </xf>
    <xf numFmtId="0" fontId="22" fillId="55" borderId="19" xfId="362" applyFont="1" applyFill="1" applyBorder="1" applyAlignment="1">
      <alignment horizontal="left" vertical="center"/>
      <protection/>
    </xf>
    <xf numFmtId="0" fontId="22" fillId="55" borderId="0" xfId="362" applyFont="1" applyFill="1" applyBorder="1" applyAlignment="1">
      <alignment horizontal="center"/>
      <protection/>
    </xf>
    <xf numFmtId="0" fontId="2" fillId="55" borderId="24" xfId="0" applyFont="1" applyFill="1" applyBorder="1" applyAlignment="1">
      <alignment horizontal="left" vertical="center" wrapText="1"/>
    </xf>
    <xf numFmtId="0" fontId="2" fillId="55" borderId="0" xfId="0" applyFont="1" applyFill="1" applyBorder="1" applyAlignment="1">
      <alignment horizontal="left" vertical="center" wrapText="1"/>
    </xf>
    <xf numFmtId="0" fontId="22" fillId="55" borderId="0" xfId="362" applyFont="1" applyFill="1" applyBorder="1" applyAlignment="1">
      <alignment horizontal="center" vertical="center"/>
      <protection/>
    </xf>
    <xf numFmtId="0" fontId="24" fillId="55" borderId="0" xfId="362" applyFont="1" applyFill="1" applyBorder="1" applyAlignment="1">
      <alignment vertical="center" wrapText="1"/>
      <protection/>
    </xf>
    <xf numFmtId="0" fontId="22" fillId="55" borderId="37" xfId="362" applyFont="1" applyFill="1" applyBorder="1" applyAlignment="1">
      <alignment horizontal="center" vertical="center"/>
      <protection/>
    </xf>
    <xf numFmtId="0" fontId="22" fillId="55" borderId="43" xfId="362" applyFont="1" applyFill="1" applyBorder="1" applyAlignment="1">
      <alignment horizontal="center" vertical="center"/>
      <protection/>
    </xf>
    <xf numFmtId="0" fontId="22" fillId="55" borderId="42" xfId="362" applyFont="1" applyFill="1" applyBorder="1" applyAlignment="1">
      <alignment horizontal="center" vertical="center"/>
      <protection/>
    </xf>
    <xf numFmtId="0" fontId="22" fillId="55" borderId="28" xfId="362" applyFont="1" applyFill="1" applyBorder="1" applyAlignment="1">
      <alignment horizontal="center"/>
      <protection/>
    </xf>
    <xf numFmtId="0" fontId="22" fillId="55" borderId="21" xfId="362" applyFont="1" applyFill="1" applyBorder="1" applyAlignment="1">
      <alignment horizontal="center"/>
      <protection/>
    </xf>
    <xf numFmtId="0" fontId="22" fillId="55" borderId="29" xfId="362" applyFont="1" applyFill="1" applyBorder="1" applyAlignment="1">
      <alignment horizontal="center"/>
      <protection/>
    </xf>
    <xf numFmtId="0" fontId="105" fillId="56" borderId="38" xfId="0" applyFont="1" applyFill="1" applyBorder="1" applyAlignment="1">
      <alignment horizontal="center"/>
    </xf>
    <xf numFmtId="0" fontId="24" fillId="55" borderId="0" xfId="362" applyFont="1" applyFill="1" applyAlignment="1">
      <alignment horizontal="left" wrapText="1"/>
      <protection/>
    </xf>
    <xf numFmtId="0" fontId="22" fillId="55" borderId="0" xfId="366" applyFont="1" applyFill="1" applyBorder="1" applyAlignment="1">
      <alignment horizontal="center"/>
      <protection/>
    </xf>
    <xf numFmtId="0" fontId="22" fillId="55" borderId="30" xfId="366" applyFont="1" applyFill="1" applyBorder="1" applyAlignment="1">
      <alignment horizontal="left" vertical="center" wrapText="1"/>
      <protection/>
    </xf>
    <xf numFmtId="0" fontId="22" fillId="55" borderId="19" xfId="366" applyFont="1" applyFill="1" applyBorder="1" applyAlignment="1">
      <alignment horizontal="left" vertical="center" wrapText="1"/>
      <protection/>
    </xf>
    <xf numFmtId="0" fontId="22" fillId="55" borderId="30" xfId="366" applyFont="1" applyFill="1" applyBorder="1" applyAlignment="1">
      <alignment horizontal="center" vertical="center" wrapText="1"/>
      <protection/>
    </xf>
    <xf numFmtId="0" fontId="22" fillId="55" borderId="19" xfId="366" applyFont="1" applyFill="1" applyBorder="1" applyAlignment="1">
      <alignment horizontal="center" vertical="center" wrapText="1"/>
      <protection/>
    </xf>
    <xf numFmtId="0" fontId="24" fillId="55" borderId="0" xfId="366" applyFont="1" applyFill="1" applyAlignment="1">
      <alignment horizontal="left" wrapText="1"/>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2" fillId="55" borderId="24" xfId="362" applyFont="1" applyFill="1" applyBorder="1" applyAlignment="1">
      <alignment horizontal="left" vertical="center" wrapText="1"/>
      <protection/>
    </xf>
    <xf numFmtId="0" fontId="2" fillId="55" borderId="24" xfId="362" applyFont="1" applyFill="1" applyBorder="1" applyAlignment="1">
      <alignment horizontal="left" vertical="center"/>
      <protection/>
    </xf>
    <xf numFmtId="0" fontId="22" fillId="55" borderId="3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2" fillId="55" borderId="0" xfId="362" applyFont="1" applyFill="1" applyBorder="1" applyAlignment="1">
      <alignment horizontal="center" wrapText="1"/>
      <protection/>
    </xf>
    <xf numFmtId="0" fontId="2" fillId="55" borderId="24" xfId="362" applyNumberFormat="1" applyFont="1" applyFill="1" applyBorder="1" applyAlignment="1">
      <alignment horizontal="left" vertical="center" wrapText="1"/>
      <protection/>
    </xf>
    <xf numFmtId="0" fontId="2" fillId="55" borderId="24" xfId="362" applyNumberFormat="1" applyFont="1" applyFill="1" applyBorder="1" applyAlignment="1">
      <alignment horizontal="left" vertical="center"/>
      <protection/>
    </xf>
    <xf numFmtId="172" fontId="22" fillId="55" borderId="43" xfId="300" applyNumberFormat="1" applyFont="1" applyFill="1" applyBorder="1" applyAlignment="1">
      <alignment horizontal="center" vertical="center"/>
    </xf>
    <xf numFmtId="172" fontId="22" fillId="55" borderId="42" xfId="300" applyNumberFormat="1" applyFont="1" applyFill="1" applyBorder="1" applyAlignment="1">
      <alignment horizontal="center" vertical="center"/>
    </xf>
    <xf numFmtId="0" fontId="126" fillId="57" borderId="28" xfId="0" applyFont="1" applyFill="1" applyBorder="1" applyAlignment="1">
      <alignment horizontal="center" wrapText="1"/>
    </xf>
    <xf numFmtId="0" fontId="126" fillId="57" borderId="21" xfId="0" applyFont="1" applyFill="1" applyBorder="1" applyAlignment="1">
      <alignment horizontal="center" wrapText="1"/>
    </xf>
    <xf numFmtId="0" fontId="126" fillId="57" borderId="29"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28" xfId="0" applyFont="1" applyFill="1" applyBorder="1" applyAlignment="1">
      <alignment horizontal="center"/>
    </xf>
    <xf numFmtId="0" fontId="22" fillId="55" borderId="21" xfId="0" applyFont="1" applyFill="1" applyBorder="1" applyAlignment="1">
      <alignment horizontal="center"/>
    </xf>
    <xf numFmtId="0" fontId="22" fillId="55" borderId="29" xfId="0" applyFont="1" applyFill="1" applyBorder="1" applyAlignment="1">
      <alignment horizontal="center"/>
    </xf>
    <xf numFmtId="0" fontId="106" fillId="55" borderId="0" xfId="0" applyFont="1" applyFill="1" applyBorder="1" applyAlignment="1">
      <alignment horizontal="left"/>
    </xf>
    <xf numFmtId="0" fontId="106" fillId="55" borderId="0" xfId="0" applyFont="1" applyFill="1" applyBorder="1" applyAlignment="1">
      <alignment horizontal="left" wrapText="1"/>
    </xf>
    <xf numFmtId="0" fontId="106" fillId="55" borderId="38" xfId="0" applyFont="1" applyFill="1" applyBorder="1" applyAlignment="1">
      <alignment horizontal="left" vertical="center" wrapText="1"/>
    </xf>
    <xf numFmtId="0" fontId="105" fillId="55" borderId="0" xfId="0" applyFont="1" applyFill="1" applyBorder="1" applyAlignment="1">
      <alignment horizontal="center"/>
    </xf>
    <xf numFmtId="0" fontId="105" fillId="55" borderId="28" xfId="0" applyFont="1" applyFill="1" applyBorder="1" applyAlignment="1">
      <alignment horizontal="center"/>
    </xf>
    <xf numFmtId="0" fontId="105" fillId="55" borderId="21" xfId="0" applyFont="1" applyFill="1" applyBorder="1" applyAlignment="1">
      <alignment horizontal="center"/>
    </xf>
    <xf numFmtId="0" fontId="105" fillId="55" borderId="29" xfId="0" applyFont="1" applyFill="1" applyBorder="1" applyAlignment="1">
      <alignment horizontal="center"/>
    </xf>
    <xf numFmtId="0" fontId="105" fillId="55" borderId="37" xfId="0" applyFont="1" applyFill="1" applyBorder="1" applyAlignment="1">
      <alignment horizontal="left" vertical="center"/>
    </xf>
    <xf numFmtId="0" fontId="105" fillId="55" borderId="42" xfId="0" applyFont="1" applyFill="1" applyBorder="1" applyAlignment="1">
      <alignment horizontal="left" vertical="center"/>
    </xf>
    <xf numFmtId="0" fontId="105" fillId="55" borderId="25" xfId="0" applyFont="1" applyFill="1" applyBorder="1" applyAlignment="1">
      <alignment horizontal="left" vertical="center"/>
    </xf>
    <xf numFmtId="0" fontId="105" fillId="55" borderId="36" xfId="0" applyFont="1" applyFill="1" applyBorder="1" applyAlignment="1">
      <alignment horizontal="left" vertical="center"/>
    </xf>
    <xf numFmtId="0" fontId="106" fillId="55" borderId="37" xfId="0" applyFont="1" applyFill="1" applyBorder="1" applyAlignment="1">
      <alignment horizontal="left" vertical="center" wrapText="1"/>
    </xf>
    <xf numFmtId="0" fontId="106" fillId="55" borderId="43" xfId="0" applyFont="1" applyFill="1" applyBorder="1" applyAlignment="1">
      <alignment horizontal="left" vertical="center" wrapText="1"/>
    </xf>
    <xf numFmtId="0" fontId="108" fillId="55" borderId="0" xfId="0" applyFont="1" applyFill="1" applyBorder="1" applyAlignment="1">
      <alignment horizontal="left"/>
    </xf>
    <xf numFmtId="0" fontId="106" fillId="55" borderId="42" xfId="0" applyFont="1" applyFill="1" applyBorder="1" applyAlignment="1">
      <alignment horizontal="left" vertical="center" wrapText="1"/>
    </xf>
    <xf numFmtId="0" fontId="105" fillId="55" borderId="37" xfId="0" applyFont="1" applyFill="1" applyBorder="1" applyAlignment="1">
      <alignment horizontal="center" vertical="center"/>
    </xf>
    <xf numFmtId="0" fontId="105" fillId="55" borderId="43" xfId="0" applyFont="1" applyFill="1" applyBorder="1" applyAlignment="1">
      <alignment horizontal="center" vertical="center"/>
    </xf>
  </cellXfs>
  <cellStyles count="44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2 3" xfId="304"/>
    <cellStyle name="Millares [0] 3" xfId="305"/>
    <cellStyle name="Millares [0] 3 2" xfId="306"/>
    <cellStyle name="Millares [0] 4" xfId="307"/>
    <cellStyle name="Millares 2" xfId="308"/>
    <cellStyle name="Millares 2 2" xfId="309"/>
    <cellStyle name="Millares 2 3" xfId="310"/>
    <cellStyle name="Millares 2 4" xfId="311"/>
    <cellStyle name="Millares 2 5" xfId="312"/>
    <cellStyle name="Millares 2 5 2" xfId="313"/>
    <cellStyle name="Millares 2 5 2 2" xfId="314"/>
    <cellStyle name="Millares 3" xfId="315"/>
    <cellStyle name="Millares 3 2" xfId="316"/>
    <cellStyle name="Millares 3 2 2" xfId="317"/>
    <cellStyle name="Millares 4" xfId="318"/>
    <cellStyle name="Millares 4 2" xfId="319"/>
    <cellStyle name="Millares 4 2 2" xfId="320"/>
    <cellStyle name="Millares 4 3" xfId="321"/>
    <cellStyle name="Millares 5" xfId="322"/>
    <cellStyle name="Millares 5 2" xfId="323"/>
    <cellStyle name="Millares 5 2 2" xfId="324"/>
    <cellStyle name="Millares 6" xfId="325"/>
    <cellStyle name="Millares 6 2" xfId="326"/>
    <cellStyle name="Millares 6 2 2" xfId="327"/>
    <cellStyle name="Millares 7" xfId="328"/>
    <cellStyle name="Millares 7 2" xfId="329"/>
    <cellStyle name="Millares 8" xfId="330"/>
    <cellStyle name="Millares 8 2" xfId="331"/>
    <cellStyle name="Millares 8 2 2" xfId="332"/>
    <cellStyle name="Millares 8 3" xfId="333"/>
    <cellStyle name="Millares 9" xfId="334"/>
    <cellStyle name="Currency" xfId="335"/>
    <cellStyle name="Currency [0]" xfId="336"/>
    <cellStyle name="Neutral" xfId="337"/>
    <cellStyle name="Neutral 2 2" xfId="338"/>
    <cellStyle name="Neutral 2 2 2" xfId="339"/>
    <cellStyle name="Neutral 2 2 3" xfId="340"/>
    <cellStyle name="Neutral 2 3" xfId="341"/>
    <cellStyle name="Neutral 2 4" xfId="342"/>
    <cellStyle name="Neutral 3 2" xfId="343"/>
    <cellStyle name="Neutral 3 3" xfId="344"/>
    <cellStyle name="Neutral 4" xfId="345"/>
    <cellStyle name="Normal 10" xfId="346"/>
    <cellStyle name="Normal 2" xfId="347"/>
    <cellStyle name="Normal 2 2" xfId="348"/>
    <cellStyle name="Normal 2 2 2" xfId="349"/>
    <cellStyle name="Normal 2 2 2 2" xfId="350"/>
    <cellStyle name="Normal 2 2 2 2 2" xfId="351"/>
    <cellStyle name="Normal 2 2 3" xfId="352"/>
    <cellStyle name="Normal 2 3" xfId="353"/>
    <cellStyle name="Normal 2 4" xfId="354"/>
    <cellStyle name="Normal 2 4 2" xfId="355"/>
    <cellStyle name="Normal 2 5" xfId="356"/>
    <cellStyle name="Normal 3" xfId="357"/>
    <cellStyle name="Normal 3 2" xfId="358"/>
    <cellStyle name="Normal 3 3" xfId="359"/>
    <cellStyle name="Normal 3 4" xfId="360"/>
    <cellStyle name="Normal 3 5" xfId="361"/>
    <cellStyle name="Normal 4" xfId="362"/>
    <cellStyle name="Normal 4 2" xfId="363"/>
    <cellStyle name="Normal 4 2 2" xfId="364"/>
    <cellStyle name="Normal 4 3" xfId="365"/>
    <cellStyle name="Normal 4 4" xfId="366"/>
    <cellStyle name="Normal 5" xfId="367"/>
    <cellStyle name="Normal 5 2" xfId="368"/>
    <cellStyle name="Normal 5 2 2" xfId="369"/>
    <cellStyle name="Normal 5 2 2 2" xfId="370"/>
    <cellStyle name="Normal 9" xfId="371"/>
    <cellStyle name="Normal_indice" xfId="372"/>
    <cellStyle name="Notas" xfId="373"/>
    <cellStyle name="Notas 2 2" xfId="374"/>
    <cellStyle name="Notas 2 2 2" xfId="375"/>
    <cellStyle name="Notas 2 2 3" xfId="376"/>
    <cellStyle name="Notas 2 3" xfId="377"/>
    <cellStyle name="Notas 2 4" xfId="378"/>
    <cellStyle name="Notas 3 2" xfId="379"/>
    <cellStyle name="Notas 3 3" xfId="380"/>
    <cellStyle name="Notas 4" xfId="381"/>
    <cellStyle name="Percent" xfId="382"/>
    <cellStyle name="Porcentaje 2" xfId="383"/>
    <cellStyle name="Porcentaje 3" xfId="384"/>
    <cellStyle name="Porcentual 2" xfId="385"/>
    <cellStyle name="Porcentual 2 2" xfId="386"/>
    <cellStyle name="Porcentual 2 3" xfId="387"/>
    <cellStyle name="Porcentual 2 4" xfId="388"/>
    <cellStyle name="Porcentual 2 4 2" xfId="389"/>
    <cellStyle name="Porcentual 2 5" xfId="390"/>
    <cellStyle name="Salida" xfId="391"/>
    <cellStyle name="Salida 2 2" xfId="392"/>
    <cellStyle name="Salida 2 2 2" xfId="393"/>
    <cellStyle name="Salida 2 2 3" xfId="394"/>
    <cellStyle name="Salida 2 3" xfId="395"/>
    <cellStyle name="Salida 2 4" xfId="396"/>
    <cellStyle name="Salida 3 2" xfId="397"/>
    <cellStyle name="Salida 3 3" xfId="398"/>
    <cellStyle name="Salida 4" xfId="399"/>
    <cellStyle name="Texto de advertencia" xfId="400"/>
    <cellStyle name="Texto de advertencia 2 2" xfId="401"/>
    <cellStyle name="Texto de advertencia 2 2 2" xfId="402"/>
    <cellStyle name="Texto de advertencia 2 2 3" xfId="403"/>
    <cellStyle name="Texto de advertencia 2 3" xfId="404"/>
    <cellStyle name="Texto de advertencia 2 4" xfId="405"/>
    <cellStyle name="Texto de advertencia 3 2" xfId="406"/>
    <cellStyle name="Texto de advertencia 3 3" xfId="407"/>
    <cellStyle name="Texto de advertencia 4" xfId="408"/>
    <cellStyle name="Texto explicativo" xfId="409"/>
    <cellStyle name="Texto explicativo 2 2" xfId="410"/>
    <cellStyle name="Texto explicativo 2 2 2" xfId="411"/>
    <cellStyle name="Texto explicativo 2 2 3" xfId="412"/>
    <cellStyle name="Texto explicativo 2 3" xfId="413"/>
    <cellStyle name="Texto explicativo 2 4" xfId="414"/>
    <cellStyle name="Texto explicativo 3 2" xfId="415"/>
    <cellStyle name="Texto explicativo 3 3" xfId="416"/>
    <cellStyle name="Texto explicativo 4" xfId="417"/>
    <cellStyle name="Título" xfId="418"/>
    <cellStyle name="Título 1 2 2" xfId="419"/>
    <cellStyle name="Título 1 2 2 2" xfId="420"/>
    <cellStyle name="Título 1 2 2 3" xfId="421"/>
    <cellStyle name="Título 1 2 3" xfId="422"/>
    <cellStyle name="Título 1 2 4" xfId="423"/>
    <cellStyle name="Título 1 3 2" xfId="424"/>
    <cellStyle name="Título 1 3 3" xfId="425"/>
    <cellStyle name="Título 1 4" xfId="426"/>
    <cellStyle name="Título 2" xfId="427"/>
    <cellStyle name="Título 2 2 2" xfId="428"/>
    <cellStyle name="Título 2 2 2 2" xfId="429"/>
    <cellStyle name="Título 2 2 2 3" xfId="430"/>
    <cellStyle name="Título 2 2 3" xfId="431"/>
    <cellStyle name="Título 2 2 4" xfId="432"/>
    <cellStyle name="Título 2 3 2" xfId="433"/>
    <cellStyle name="Título 2 3 3" xfId="434"/>
    <cellStyle name="Título 2 4" xfId="435"/>
    <cellStyle name="Título 3" xfId="436"/>
    <cellStyle name="Título 3 2 2" xfId="437"/>
    <cellStyle name="Título 3 2 2 2" xfId="438"/>
    <cellStyle name="Título 3 2 2 3" xfId="439"/>
    <cellStyle name="Título 3 2 3" xfId="440"/>
    <cellStyle name="Título 3 2 4" xfId="441"/>
    <cellStyle name="Título 3 3 2" xfId="442"/>
    <cellStyle name="Título 3 3 3" xfId="443"/>
    <cellStyle name="Título 3 4" xfId="444"/>
    <cellStyle name="Título 4 2" xfId="445"/>
    <cellStyle name="Título 4 2 2" xfId="446"/>
    <cellStyle name="Título 4 2 3" xfId="447"/>
    <cellStyle name="Título 4 3" xfId="448"/>
    <cellStyle name="Título 4 4" xfId="449"/>
    <cellStyle name="Título 5 2" xfId="450"/>
    <cellStyle name="Título 5 3" xfId="451"/>
    <cellStyle name="Título 6" xfId="452"/>
    <cellStyle name="Total" xfId="453"/>
    <cellStyle name="Total 2 2" xfId="454"/>
    <cellStyle name="Total 2 2 2" xfId="455"/>
    <cellStyle name="Total 2 2 3" xfId="456"/>
    <cellStyle name="Total 2 3" xfId="457"/>
    <cellStyle name="Total 2 4" xfId="458"/>
    <cellStyle name="Total 3 2" xfId="459"/>
    <cellStyle name="Total 3 3" xfId="460"/>
    <cellStyle name="Total 4" xfId="46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5"/>
        </c:manualLayout>
      </c:layout>
      <c:spPr>
        <a:noFill/>
        <a:ln w="3175">
          <a:noFill/>
        </a:ln>
      </c:spPr>
    </c:title>
    <c:plotArea>
      <c:layout>
        <c:manualLayout>
          <c:xMode val="edge"/>
          <c:yMode val="edge"/>
          <c:x val="0.047"/>
          <c:y val="0.08625"/>
          <c:w val="0.88825"/>
          <c:h val="0.886"/>
        </c:manualLayout>
      </c:layout>
      <c:lineChart>
        <c:grouping val="standard"/>
        <c:varyColors val="0"/>
        <c:ser>
          <c:idx val="0"/>
          <c:order val="0"/>
          <c:tx>
            <c:strRef>
              <c:f>'precio mayorista'!$C$7</c:f>
              <c:strCache>
                <c:ptCount val="1"/>
                <c:pt idx="0">
                  <c:v>2015</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2016</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2017</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55290447"/>
        <c:axId val="27851976"/>
      </c:lineChart>
      <c:catAx>
        <c:axId val="5529044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27851976"/>
        <c:crosses val="autoZero"/>
        <c:auto val="1"/>
        <c:lblOffset val="100"/>
        <c:tickLblSkip val="1"/>
        <c:noMultiLvlLbl val="0"/>
      </c:catAx>
      <c:valAx>
        <c:axId val="27851976"/>
        <c:scaling>
          <c:orientation val="minMax"/>
          <c:min val="10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5290447"/>
        <c:crossesAt val="1"/>
        <c:crossBetween val="between"/>
        <c:dispUnits/>
      </c:valAx>
      <c:spPr>
        <a:noFill/>
        <a:ln>
          <a:noFill/>
        </a:ln>
      </c:spPr>
    </c:plotArea>
    <c:legend>
      <c:legendPos val="r"/>
      <c:layout>
        <c:manualLayout>
          <c:xMode val="edge"/>
          <c:yMode val="edge"/>
          <c:x val="0.22075"/>
          <c:y val="0.90875"/>
          <c:w val="0.421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2"/>
          <c:y val="-0.01075"/>
        </c:manualLayout>
      </c:layout>
      <c:spPr>
        <a:noFill/>
        <a:ln w="3175">
          <a:noFill/>
        </a:ln>
      </c:spPr>
    </c:title>
    <c:plotArea>
      <c:layout>
        <c:manualLayout>
          <c:xMode val="edge"/>
          <c:yMode val="edge"/>
          <c:x val="0.04275"/>
          <c:y val="0.07475"/>
          <c:w val="0.94375"/>
          <c:h val="0.8452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47024435"/>
        <c:axId val="20566732"/>
      </c:barChart>
      <c:catAx>
        <c:axId val="470244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0566732"/>
        <c:crosses val="autoZero"/>
        <c:auto val="1"/>
        <c:lblOffset val="100"/>
        <c:tickLblSkip val="1"/>
        <c:noMultiLvlLbl val="0"/>
      </c:catAx>
      <c:valAx>
        <c:axId val="20566732"/>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6"/>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47024435"/>
        <c:crossesAt val="1"/>
        <c:crossBetween val="between"/>
        <c:dispUnits/>
      </c:valAx>
      <c:spPr>
        <a:noFill/>
        <a:ln>
          <a:noFill/>
        </a:ln>
      </c:spPr>
    </c:plotArea>
    <c:legend>
      <c:legendPos val="r"/>
      <c:layout>
        <c:manualLayout>
          <c:xMode val="edge"/>
          <c:yMode val="edge"/>
          <c:x val="0.38"/>
          <c:y val="0.927"/>
          <c:w val="0.2377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agosto 2016 al 31 de enero 2017 
</a:t>
            </a:r>
            <a:r>
              <a:rPr lang="en-US" cap="none" sz="1000" b="1" i="0" u="none" baseline="0">
                <a:solidFill>
                  <a:srgbClr val="000000"/>
                </a:solidFill>
              </a:rPr>
              <a:t>(en $/50 kilos sin IVA)</a:t>
            </a:r>
          </a:p>
        </c:rich>
      </c:tx>
      <c:layout>
        <c:manualLayout>
          <c:xMode val="factor"/>
          <c:yMode val="factor"/>
          <c:x val="-0.00225"/>
          <c:y val="-0.00925"/>
        </c:manualLayout>
      </c:layout>
      <c:spPr>
        <a:noFill/>
        <a:ln w="3175">
          <a:noFill/>
        </a:ln>
      </c:spPr>
    </c:title>
    <c:plotArea>
      <c:layout>
        <c:manualLayout>
          <c:xMode val="edge"/>
          <c:yMode val="edge"/>
          <c:x val="0.02725"/>
          <c:y val="0.1275"/>
          <c:w val="0.96025"/>
          <c:h val="0.838"/>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sysDot"/>
              </a:ln>
            </c:spPr>
            <c:trendlineType val="poly"/>
            <c:order val="5"/>
            <c:dispEq val="0"/>
            <c:dispRSqr val="0"/>
          </c:trendline>
          <c:cat>
            <c:numRef>
              <c:f>'[2]serie de precios'!$A$1155:$A$1279</c:f>
              <c:numCache>
                <c:ptCount val="125"/>
                <c:pt idx="0">
                  <c:v>42583</c:v>
                </c:pt>
                <c:pt idx="1">
                  <c:v>42584</c:v>
                </c:pt>
                <c:pt idx="2">
                  <c:v>42585</c:v>
                </c:pt>
                <c:pt idx="3">
                  <c:v>42586</c:v>
                </c:pt>
                <c:pt idx="4">
                  <c:v>42587</c:v>
                </c:pt>
                <c:pt idx="5">
                  <c:v>42590</c:v>
                </c:pt>
                <c:pt idx="6">
                  <c:v>42591</c:v>
                </c:pt>
                <c:pt idx="7">
                  <c:v>42592</c:v>
                </c:pt>
                <c:pt idx="8">
                  <c:v>42593</c:v>
                </c:pt>
                <c:pt idx="9">
                  <c:v>42594</c:v>
                </c:pt>
                <c:pt idx="10">
                  <c:v>42598</c:v>
                </c:pt>
                <c:pt idx="11">
                  <c:v>42599</c:v>
                </c:pt>
                <c:pt idx="12">
                  <c:v>42600</c:v>
                </c:pt>
                <c:pt idx="13">
                  <c:v>42601</c:v>
                </c:pt>
                <c:pt idx="14">
                  <c:v>42604</c:v>
                </c:pt>
                <c:pt idx="15">
                  <c:v>42605</c:v>
                </c:pt>
                <c:pt idx="16">
                  <c:v>42606</c:v>
                </c:pt>
                <c:pt idx="17">
                  <c:v>42607</c:v>
                </c:pt>
                <c:pt idx="18">
                  <c:v>42608</c:v>
                </c:pt>
                <c:pt idx="19">
                  <c:v>42611</c:v>
                </c:pt>
                <c:pt idx="20">
                  <c:v>42612</c:v>
                </c:pt>
                <c:pt idx="21">
                  <c:v>42613</c:v>
                </c:pt>
                <c:pt idx="22">
                  <c:v>42614</c:v>
                </c:pt>
                <c:pt idx="23">
                  <c:v>42615</c:v>
                </c:pt>
                <c:pt idx="24">
                  <c:v>42618</c:v>
                </c:pt>
                <c:pt idx="25">
                  <c:v>42619</c:v>
                </c:pt>
                <c:pt idx="26">
                  <c:v>42620</c:v>
                </c:pt>
                <c:pt idx="27">
                  <c:v>42621</c:v>
                </c:pt>
                <c:pt idx="28">
                  <c:v>42622</c:v>
                </c:pt>
                <c:pt idx="29">
                  <c:v>42625</c:v>
                </c:pt>
                <c:pt idx="30">
                  <c:v>42626</c:v>
                </c:pt>
                <c:pt idx="31">
                  <c:v>42627</c:v>
                </c:pt>
                <c:pt idx="32">
                  <c:v>42628</c:v>
                </c:pt>
                <c:pt idx="33">
                  <c:v>42629</c:v>
                </c:pt>
                <c:pt idx="34">
                  <c:v>42633</c:v>
                </c:pt>
                <c:pt idx="35">
                  <c:v>42634</c:v>
                </c:pt>
                <c:pt idx="36">
                  <c:v>42635</c:v>
                </c:pt>
                <c:pt idx="37">
                  <c:v>42636</c:v>
                </c:pt>
                <c:pt idx="38">
                  <c:v>42639</c:v>
                </c:pt>
                <c:pt idx="39">
                  <c:v>42640</c:v>
                </c:pt>
                <c:pt idx="40">
                  <c:v>42641</c:v>
                </c:pt>
                <c:pt idx="41">
                  <c:v>42642</c:v>
                </c:pt>
                <c:pt idx="42">
                  <c:v>42643</c:v>
                </c:pt>
                <c:pt idx="43">
                  <c:v>42646</c:v>
                </c:pt>
                <c:pt idx="44">
                  <c:v>42647</c:v>
                </c:pt>
                <c:pt idx="45">
                  <c:v>42648</c:v>
                </c:pt>
                <c:pt idx="46">
                  <c:v>42649</c:v>
                </c:pt>
                <c:pt idx="47">
                  <c:v>42650</c:v>
                </c:pt>
                <c:pt idx="48">
                  <c:v>42654</c:v>
                </c:pt>
                <c:pt idx="49">
                  <c:v>42655</c:v>
                </c:pt>
                <c:pt idx="50">
                  <c:v>42656</c:v>
                </c:pt>
                <c:pt idx="51">
                  <c:v>42657</c:v>
                </c:pt>
                <c:pt idx="52">
                  <c:v>42660</c:v>
                </c:pt>
                <c:pt idx="53">
                  <c:v>42661</c:v>
                </c:pt>
                <c:pt idx="54">
                  <c:v>42662</c:v>
                </c:pt>
                <c:pt idx="55">
                  <c:v>42663</c:v>
                </c:pt>
                <c:pt idx="56">
                  <c:v>42664</c:v>
                </c:pt>
                <c:pt idx="57">
                  <c:v>42667</c:v>
                </c:pt>
                <c:pt idx="58">
                  <c:v>42668</c:v>
                </c:pt>
                <c:pt idx="59">
                  <c:v>42669</c:v>
                </c:pt>
                <c:pt idx="60">
                  <c:v>42670</c:v>
                </c:pt>
                <c:pt idx="61">
                  <c:v>42671</c:v>
                </c:pt>
                <c:pt idx="62">
                  <c:v>42676</c:v>
                </c:pt>
                <c:pt idx="63">
                  <c:v>42677</c:v>
                </c:pt>
                <c:pt idx="64">
                  <c:v>42678</c:v>
                </c:pt>
                <c:pt idx="65">
                  <c:v>42681</c:v>
                </c:pt>
                <c:pt idx="66">
                  <c:v>42682</c:v>
                </c:pt>
                <c:pt idx="67">
                  <c:v>42683</c:v>
                </c:pt>
                <c:pt idx="68">
                  <c:v>42684</c:v>
                </c:pt>
                <c:pt idx="69">
                  <c:v>42685</c:v>
                </c:pt>
                <c:pt idx="70">
                  <c:v>42688</c:v>
                </c:pt>
                <c:pt idx="71">
                  <c:v>42689</c:v>
                </c:pt>
                <c:pt idx="72">
                  <c:v>42690</c:v>
                </c:pt>
                <c:pt idx="73">
                  <c:v>42691</c:v>
                </c:pt>
                <c:pt idx="74">
                  <c:v>42692</c:v>
                </c:pt>
                <c:pt idx="75">
                  <c:v>42695</c:v>
                </c:pt>
                <c:pt idx="76">
                  <c:v>42696</c:v>
                </c:pt>
                <c:pt idx="77">
                  <c:v>42697</c:v>
                </c:pt>
                <c:pt idx="78">
                  <c:v>42698</c:v>
                </c:pt>
                <c:pt idx="79">
                  <c:v>42699</c:v>
                </c:pt>
                <c:pt idx="80">
                  <c:v>42702</c:v>
                </c:pt>
                <c:pt idx="81">
                  <c:v>42703</c:v>
                </c:pt>
                <c:pt idx="82">
                  <c:v>42704</c:v>
                </c:pt>
                <c:pt idx="83">
                  <c:v>42705</c:v>
                </c:pt>
                <c:pt idx="84">
                  <c:v>42706</c:v>
                </c:pt>
                <c:pt idx="85">
                  <c:v>42709</c:v>
                </c:pt>
                <c:pt idx="86">
                  <c:v>42710</c:v>
                </c:pt>
                <c:pt idx="87">
                  <c:v>42711</c:v>
                </c:pt>
                <c:pt idx="88">
                  <c:v>42713</c:v>
                </c:pt>
                <c:pt idx="89">
                  <c:v>42716</c:v>
                </c:pt>
                <c:pt idx="90">
                  <c:v>42717</c:v>
                </c:pt>
                <c:pt idx="91">
                  <c:v>42718</c:v>
                </c:pt>
                <c:pt idx="92">
                  <c:v>42719</c:v>
                </c:pt>
                <c:pt idx="93">
                  <c:v>42720</c:v>
                </c:pt>
                <c:pt idx="94">
                  <c:v>42723</c:v>
                </c:pt>
                <c:pt idx="95">
                  <c:v>42724</c:v>
                </c:pt>
                <c:pt idx="96">
                  <c:v>42725</c:v>
                </c:pt>
                <c:pt idx="97">
                  <c:v>42726</c:v>
                </c:pt>
                <c:pt idx="98">
                  <c:v>42727</c:v>
                </c:pt>
                <c:pt idx="99">
                  <c:v>42730</c:v>
                </c:pt>
                <c:pt idx="100">
                  <c:v>42731</c:v>
                </c:pt>
                <c:pt idx="101">
                  <c:v>42732</c:v>
                </c:pt>
                <c:pt idx="102">
                  <c:v>42733</c:v>
                </c:pt>
                <c:pt idx="103">
                  <c:v>42734</c:v>
                </c:pt>
                <c:pt idx="104">
                  <c:v>42738</c:v>
                </c:pt>
                <c:pt idx="105">
                  <c:v>42739</c:v>
                </c:pt>
                <c:pt idx="106">
                  <c:v>42740</c:v>
                </c:pt>
                <c:pt idx="107">
                  <c:v>42741</c:v>
                </c:pt>
                <c:pt idx="108">
                  <c:v>42744</c:v>
                </c:pt>
                <c:pt idx="109">
                  <c:v>42745</c:v>
                </c:pt>
                <c:pt idx="110">
                  <c:v>42746</c:v>
                </c:pt>
                <c:pt idx="111">
                  <c:v>42747</c:v>
                </c:pt>
                <c:pt idx="112">
                  <c:v>42748</c:v>
                </c:pt>
                <c:pt idx="113">
                  <c:v>42751</c:v>
                </c:pt>
                <c:pt idx="114">
                  <c:v>42752</c:v>
                </c:pt>
                <c:pt idx="115">
                  <c:v>42753</c:v>
                </c:pt>
                <c:pt idx="116">
                  <c:v>42754</c:v>
                </c:pt>
                <c:pt idx="117">
                  <c:v>42755</c:v>
                </c:pt>
                <c:pt idx="118">
                  <c:v>42758</c:v>
                </c:pt>
                <c:pt idx="119">
                  <c:v>42759</c:v>
                </c:pt>
                <c:pt idx="120">
                  <c:v>42760</c:v>
                </c:pt>
                <c:pt idx="121">
                  <c:v>42761</c:v>
                </c:pt>
                <c:pt idx="122">
                  <c:v>42762</c:v>
                </c:pt>
                <c:pt idx="123">
                  <c:v>42765</c:v>
                </c:pt>
                <c:pt idx="124">
                  <c:v>42766</c:v>
                </c:pt>
              </c:numCache>
            </c:numRef>
          </c:cat>
          <c:val>
            <c:numRef>
              <c:f>'[2]serie de precios'!$N$1155:$N$1279</c:f>
              <c:numCache>
                <c:ptCount val="125"/>
                <c:pt idx="0">
                  <c:v>13322.054000000002</c:v>
                </c:pt>
                <c:pt idx="1">
                  <c:v>13175.628571428571</c:v>
                </c:pt>
                <c:pt idx="2">
                  <c:v>12843.014285714287</c:v>
                </c:pt>
                <c:pt idx="3">
                  <c:v>13533.377500000002</c:v>
                </c:pt>
                <c:pt idx="4">
                  <c:v>12605.044999999998</c:v>
                </c:pt>
                <c:pt idx="5">
                  <c:v>13073.872352941178</c:v>
                </c:pt>
                <c:pt idx="6">
                  <c:v>13322.956666666665</c:v>
                </c:pt>
                <c:pt idx="7">
                  <c:v>13805.365714285717</c:v>
                </c:pt>
                <c:pt idx="8">
                  <c:v>13037.696666666667</c:v>
                </c:pt>
                <c:pt idx="9">
                  <c:v>13180.218000000003</c:v>
                </c:pt>
                <c:pt idx="10">
                  <c:v>13776.420400000003</c:v>
                </c:pt>
                <c:pt idx="11">
                  <c:v>13079.028333333334</c:v>
                </c:pt>
                <c:pt idx="12">
                  <c:v>13347.648181818182</c:v>
                </c:pt>
                <c:pt idx="13">
                  <c:v>12585.710869565219</c:v>
                </c:pt>
                <c:pt idx="14">
                  <c:v>13668.706666666669</c:v>
                </c:pt>
                <c:pt idx="15">
                  <c:v>13153.682608695655</c:v>
                </c:pt>
                <c:pt idx="16">
                  <c:v>13068.702352941176</c:v>
                </c:pt>
                <c:pt idx="17">
                  <c:v>14193.095500000001</c:v>
                </c:pt>
                <c:pt idx="18">
                  <c:v>12712.490909090906</c:v>
                </c:pt>
                <c:pt idx="19">
                  <c:v>13119.215625000003</c:v>
                </c:pt>
                <c:pt idx="20">
                  <c:v>13144.108181818185</c:v>
                </c:pt>
                <c:pt idx="21">
                  <c:v>12394.188125</c:v>
                </c:pt>
                <c:pt idx="22">
                  <c:v>12800.534500000002</c:v>
                </c:pt>
                <c:pt idx="23">
                  <c:v>11740.618695652176</c:v>
                </c:pt>
                <c:pt idx="24">
                  <c:v>12746.368999999999</c:v>
                </c:pt>
                <c:pt idx="25">
                  <c:v>11922.868750000001</c:v>
                </c:pt>
                <c:pt idx="26">
                  <c:v>11367.87</c:v>
                </c:pt>
                <c:pt idx="27">
                  <c:v>11273.563</c:v>
                </c:pt>
                <c:pt idx="28">
                  <c:v>11739.045</c:v>
                </c:pt>
                <c:pt idx="29">
                  <c:v>11846.430499999999</c:v>
                </c:pt>
                <c:pt idx="30">
                  <c:v>11286.07086956522</c:v>
                </c:pt>
                <c:pt idx="31">
                  <c:v>11225.88277777778</c:v>
                </c:pt>
                <c:pt idx="32">
                  <c:v>12292.6975</c:v>
                </c:pt>
                <c:pt idx="33">
                  <c:v>10846.71411764706</c:v>
                </c:pt>
                <c:pt idx="34">
                  <c:v>10909.665833333333</c:v>
                </c:pt>
                <c:pt idx="35">
                  <c:v>11126.110588235297</c:v>
                </c:pt>
                <c:pt idx="36">
                  <c:v>10829.448124999999</c:v>
                </c:pt>
                <c:pt idx="37">
                  <c:v>11198.668500000002</c:v>
                </c:pt>
                <c:pt idx="38">
                  <c:v>11059.76947368421</c:v>
                </c:pt>
                <c:pt idx="39">
                  <c:v>11860.072608695655</c:v>
                </c:pt>
                <c:pt idx="40">
                  <c:v>11593.721499999998</c:v>
                </c:pt>
                <c:pt idx="41">
                  <c:v>10999.501999999999</c:v>
                </c:pt>
                <c:pt idx="42">
                  <c:v>11252.285416666666</c:v>
                </c:pt>
                <c:pt idx="43">
                  <c:v>10803.23142857143</c:v>
                </c:pt>
                <c:pt idx="44">
                  <c:v>10944.638666666666</c:v>
                </c:pt>
                <c:pt idx="45">
                  <c:v>11628.929999999997</c:v>
                </c:pt>
                <c:pt idx="46">
                  <c:v>11310.477777777776</c:v>
                </c:pt>
                <c:pt idx="47">
                  <c:v>12115.084705882353</c:v>
                </c:pt>
                <c:pt idx="48">
                  <c:v>11626.400526315789</c:v>
                </c:pt>
                <c:pt idx="49">
                  <c:v>12075.538125000001</c:v>
                </c:pt>
                <c:pt idx="50">
                  <c:v>10748.021176470587</c:v>
                </c:pt>
                <c:pt idx="51">
                  <c:v>10438.7</c:v>
                </c:pt>
                <c:pt idx="52">
                  <c:v>11663.339999999997</c:v>
                </c:pt>
                <c:pt idx="53">
                  <c:v>10620.03777777778</c:v>
                </c:pt>
                <c:pt idx="54">
                  <c:v>10833.171666666667</c:v>
                </c:pt>
                <c:pt idx="55">
                  <c:v>12918.86625</c:v>
                </c:pt>
                <c:pt idx="56">
                  <c:v>11408.485000000002</c:v>
                </c:pt>
                <c:pt idx="57">
                  <c:v>11300.930666666665</c:v>
                </c:pt>
                <c:pt idx="58">
                  <c:v>11943.237500000001</c:v>
                </c:pt>
                <c:pt idx="59">
                  <c:v>11292.632222222222</c:v>
                </c:pt>
                <c:pt idx="60">
                  <c:v>11944.809375</c:v>
                </c:pt>
                <c:pt idx="61">
                  <c:v>11033.556153846155</c:v>
                </c:pt>
                <c:pt idx="62">
                  <c:v>11371.276428571427</c:v>
                </c:pt>
                <c:pt idx="63">
                  <c:v>10601.485</c:v>
                </c:pt>
                <c:pt idx="64">
                  <c:v>12506.156470588232</c:v>
                </c:pt>
                <c:pt idx="65">
                  <c:v>12594.148461538463</c:v>
                </c:pt>
                <c:pt idx="66">
                  <c:v>11383.920588235293</c:v>
                </c:pt>
                <c:pt idx="67">
                  <c:v>12628.185333333333</c:v>
                </c:pt>
                <c:pt idx="68">
                  <c:v>11920.376666666667</c:v>
                </c:pt>
                <c:pt idx="69">
                  <c:v>10821.98470588235</c:v>
                </c:pt>
                <c:pt idx="70">
                  <c:v>11036.156923076922</c:v>
                </c:pt>
                <c:pt idx="71">
                  <c:v>11459.387999999999</c:v>
                </c:pt>
                <c:pt idx="72">
                  <c:v>11176.292307692309</c:v>
                </c:pt>
                <c:pt idx="73">
                  <c:v>9770.022857142858</c:v>
                </c:pt>
                <c:pt idx="74">
                  <c:v>10443.101875000002</c:v>
                </c:pt>
                <c:pt idx="75">
                  <c:v>9662.692307692309</c:v>
                </c:pt>
                <c:pt idx="76">
                  <c:v>11090.54642857143</c:v>
                </c:pt>
                <c:pt idx="77">
                  <c:v>9622.967142857142</c:v>
                </c:pt>
                <c:pt idx="78">
                  <c:v>9752.800714285713</c:v>
                </c:pt>
                <c:pt idx="79">
                  <c:v>10702.920000000002</c:v>
                </c:pt>
                <c:pt idx="80">
                  <c:v>8106.704285714286</c:v>
                </c:pt>
                <c:pt idx="81">
                  <c:v>9844.30315789474</c:v>
                </c:pt>
                <c:pt idx="82">
                  <c:v>8669.943846153847</c:v>
                </c:pt>
                <c:pt idx="83">
                  <c:v>9342.102499999999</c:v>
                </c:pt>
                <c:pt idx="84">
                  <c:v>8007.094705882356</c:v>
                </c:pt>
                <c:pt idx="85">
                  <c:v>7267.326666666667</c:v>
                </c:pt>
                <c:pt idx="86">
                  <c:v>7565.261333333331</c:v>
                </c:pt>
                <c:pt idx="87">
                  <c:v>8363.95411764706</c:v>
                </c:pt>
                <c:pt idx="88">
                  <c:v>7597.291333333333</c:v>
                </c:pt>
                <c:pt idx="89">
                  <c:v>6990.356363636363</c:v>
                </c:pt>
                <c:pt idx="90">
                  <c:v>8278.164999999999</c:v>
                </c:pt>
                <c:pt idx="91">
                  <c:v>6747.316923076923</c:v>
                </c:pt>
                <c:pt idx="92">
                  <c:v>7892.278750000001</c:v>
                </c:pt>
                <c:pt idx="93">
                  <c:v>6409.62642857143</c:v>
                </c:pt>
                <c:pt idx="94">
                  <c:v>6687.568181818182</c:v>
                </c:pt>
                <c:pt idx="95">
                  <c:v>6086.739285714285</c:v>
                </c:pt>
                <c:pt idx="96">
                  <c:v>6485.287142857143</c:v>
                </c:pt>
                <c:pt idx="97">
                  <c:v>7318.786470588235</c:v>
                </c:pt>
                <c:pt idx="98">
                  <c:v>5925.372857142858</c:v>
                </c:pt>
                <c:pt idx="99">
                  <c:v>8232.770000000002</c:v>
                </c:pt>
                <c:pt idx="100">
                  <c:v>7533.049375</c:v>
                </c:pt>
                <c:pt idx="101">
                  <c:v>7222.264545454545</c:v>
                </c:pt>
                <c:pt idx="102">
                  <c:v>7783.116153846154</c:v>
                </c:pt>
                <c:pt idx="103">
                  <c:v>5852.01</c:v>
                </c:pt>
                <c:pt idx="104">
                  <c:v>7102.334666666667</c:v>
                </c:pt>
                <c:pt idx="105">
                  <c:v>7027.242307692309</c:v>
                </c:pt>
                <c:pt idx="106">
                  <c:v>7756.815714285716</c:v>
                </c:pt>
                <c:pt idx="107">
                  <c:v>6063.4299999999985</c:v>
                </c:pt>
                <c:pt idx="108">
                  <c:v>6119.108181818182</c:v>
                </c:pt>
                <c:pt idx="109">
                  <c:v>6282.48294117647</c:v>
                </c:pt>
                <c:pt idx="110">
                  <c:v>5267.891666666667</c:v>
                </c:pt>
                <c:pt idx="111">
                  <c:v>7006.147999999999</c:v>
                </c:pt>
                <c:pt idx="112">
                  <c:v>6022.377333333333</c:v>
                </c:pt>
                <c:pt idx="113">
                  <c:v>6690.755</c:v>
                </c:pt>
                <c:pt idx="114">
                  <c:v>5595.665</c:v>
                </c:pt>
                <c:pt idx="115">
                  <c:v>6221.053846153846</c:v>
                </c:pt>
                <c:pt idx="116">
                  <c:v>6805.902857142859</c:v>
                </c:pt>
                <c:pt idx="117">
                  <c:v>5357.04</c:v>
                </c:pt>
                <c:pt idx="118">
                  <c:v>6216.356428571429</c:v>
                </c:pt>
                <c:pt idx="119">
                  <c:v>6080.179375</c:v>
                </c:pt>
                <c:pt idx="120">
                  <c:v>5978.636428571428</c:v>
                </c:pt>
                <c:pt idx="121">
                  <c:v>6110.475882352941</c:v>
                </c:pt>
                <c:pt idx="122">
                  <c:v>6220.400000000001</c:v>
                </c:pt>
                <c:pt idx="123">
                  <c:v>6599.175454545455</c:v>
                </c:pt>
                <c:pt idx="124">
                  <c:v>6746.734615384615</c:v>
                </c:pt>
              </c:numCache>
            </c:numRef>
          </c:val>
          <c:smooth val="0"/>
        </c:ser>
        <c:marker val="1"/>
        <c:axId val="49341193"/>
        <c:axId val="41417554"/>
      </c:lineChart>
      <c:catAx>
        <c:axId val="49341193"/>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41417554"/>
        <c:crosses val="autoZero"/>
        <c:auto val="0"/>
        <c:lblOffset val="100"/>
        <c:tickLblSkip val="3"/>
        <c:noMultiLvlLbl val="0"/>
      </c:catAx>
      <c:valAx>
        <c:axId val="41417554"/>
        <c:scaling>
          <c:orientation val="minMax"/>
          <c:max val="15000"/>
          <c:min val="4000"/>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49341193"/>
        <c:crossesAt val="1"/>
        <c:crossBetween val="between"/>
        <c:dispUnits/>
        <c:majorUnit val="10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20 de diciembre 2016 al 31 de enero 2017 
</a:t>
            </a:r>
            <a:r>
              <a:rPr lang="en-US" cap="none" sz="1000" b="1" i="0" u="none" baseline="0">
                <a:solidFill>
                  <a:srgbClr val="000000"/>
                </a:solidFill>
              </a:rPr>
              <a:t>(en $ por saco de 50 kilos, sin IVA)</a:t>
            </a:r>
          </a:p>
        </c:rich>
      </c:tx>
      <c:layout>
        <c:manualLayout>
          <c:xMode val="factor"/>
          <c:yMode val="factor"/>
          <c:x val="-0.02275"/>
          <c:y val="-0.01275"/>
        </c:manualLayout>
      </c:layout>
      <c:spPr>
        <a:noFill/>
        <a:ln w="3175">
          <a:noFill/>
        </a:ln>
      </c:spPr>
    </c:title>
    <c:plotArea>
      <c:layout>
        <c:manualLayout>
          <c:xMode val="edge"/>
          <c:yMode val="edge"/>
          <c:x val="0.016"/>
          <c:y val="0.1045"/>
          <c:w val="0.8125"/>
          <c:h val="0.809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37213667"/>
        <c:axId val="66487548"/>
      </c:lineChart>
      <c:dateAx>
        <c:axId val="37213667"/>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66487548"/>
        <c:crosses val="autoZero"/>
        <c:auto val="0"/>
        <c:baseTimeUnit val="days"/>
        <c:majorUnit val="2"/>
        <c:majorTimeUnit val="days"/>
        <c:minorUnit val="1"/>
        <c:minorTimeUnit val="days"/>
        <c:noMultiLvlLbl val="0"/>
      </c:dateAx>
      <c:valAx>
        <c:axId val="66487548"/>
        <c:scaling>
          <c:orientation val="minMax"/>
          <c:max val="22000"/>
          <c:min val="2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37213667"/>
        <c:crossesAt val="1"/>
        <c:crossBetween val="between"/>
        <c:dispUnits/>
      </c:valAx>
      <c:spPr>
        <a:noFill/>
        <a:ln>
          <a:noFill/>
        </a:ln>
      </c:spPr>
    </c:plotArea>
    <c:legend>
      <c:legendPos val="r"/>
      <c:layout>
        <c:manualLayout>
          <c:xMode val="edge"/>
          <c:yMode val="edge"/>
          <c:x val="0.8385"/>
          <c:y val="0.06425"/>
          <c:w val="0.1595"/>
          <c:h val="0.935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275"/>
        </c:manualLayout>
      </c:layout>
      <c:spPr>
        <a:noFill/>
        <a:ln w="3175">
          <a:noFill/>
        </a:ln>
      </c:spPr>
    </c:title>
    <c:plotArea>
      <c:layout>
        <c:manualLayout>
          <c:xMode val="edge"/>
          <c:yMode val="edge"/>
          <c:x val="0.02675"/>
          <c:y val="0.07075"/>
          <c:w val="0.982"/>
          <c:h val="0.819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61517021"/>
        <c:axId val="16782278"/>
      </c:lineChart>
      <c:dateAx>
        <c:axId val="61517021"/>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6782278"/>
        <c:crosses val="autoZero"/>
        <c:auto val="0"/>
        <c:baseTimeUnit val="months"/>
        <c:majorUnit val="2"/>
        <c:majorTimeUnit val="months"/>
        <c:minorUnit val="1"/>
        <c:minorTimeUnit val="months"/>
        <c:noMultiLvlLbl val="0"/>
      </c:dateAx>
      <c:valAx>
        <c:axId val="16782278"/>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61517021"/>
        <c:crossesAt val="1"/>
        <c:crossBetween val="between"/>
        <c:dispUnits/>
      </c:valAx>
      <c:spPr>
        <a:noFill/>
        <a:ln>
          <a:noFill/>
        </a:ln>
      </c:spPr>
    </c:plotArea>
    <c:legend>
      <c:legendPos val="r"/>
      <c:layout>
        <c:manualLayout>
          <c:xMode val="edge"/>
          <c:yMode val="edge"/>
          <c:x val="0.31275"/>
          <c:y val="0.888"/>
          <c:w val="0.3722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19 de septiembre 2016 al 30 de enero de 2017 ($/ kilo con IVA)</a:t>
            </a:r>
          </a:p>
        </c:rich>
      </c:tx>
      <c:layout>
        <c:manualLayout>
          <c:xMode val="factor"/>
          <c:yMode val="factor"/>
          <c:x val="-0.00275"/>
          <c:y val="-0.01425"/>
        </c:manualLayout>
      </c:layout>
      <c:spPr>
        <a:noFill/>
        <a:ln w="3175">
          <a:noFill/>
        </a:ln>
      </c:spPr>
    </c:title>
    <c:plotArea>
      <c:layout>
        <c:manualLayout>
          <c:xMode val="edge"/>
          <c:yMode val="edge"/>
          <c:x val="0.057"/>
          <c:y val="0.09275"/>
          <c:w val="0.94875"/>
          <c:h val="0.785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16822775"/>
        <c:axId val="17187248"/>
      </c:lineChart>
      <c:dateAx>
        <c:axId val="16822775"/>
        <c:scaling>
          <c:orientation val="minMax"/>
        </c:scaling>
        <c:axPos val="b"/>
        <c:delete val="0"/>
        <c:numFmt formatCode="dd/mm" sourceLinked="0"/>
        <c:majorTickMark val="out"/>
        <c:minorTickMark val="none"/>
        <c:tickLblPos val="nextTo"/>
        <c:spPr>
          <a:ln w="3175">
            <a:solidFill>
              <a:srgbClr val="C0C0C0"/>
            </a:solidFill>
          </a:ln>
        </c:spPr>
        <c:crossAx val="17187248"/>
        <c:crosses val="autoZero"/>
        <c:auto val="0"/>
        <c:baseTimeUnit val="days"/>
        <c:majorUnit val="14"/>
        <c:majorTimeUnit val="days"/>
        <c:minorUnit val="1"/>
        <c:minorTimeUnit val="days"/>
        <c:noMultiLvlLbl val="0"/>
      </c:dateAx>
      <c:valAx>
        <c:axId val="17187248"/>
        <c:scaling>
          <c:orientation val="minMax"/>
          <c:max val="1400"/>
          <c:min val="85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16822775"/>
        <c:crossesAt val="1"/>
        <c:crossBetween val="between"/>
        <c:dispUnits/>
      </c:valAx>
      <c:spPr>
        <a:noFill/>
        <a:ln>
          <a:noFill/>
        </a:ln>
      </c:spPr>
    </c:plotArea>
    <c:legend>
      <c:legendPos val="r"/>
      <c:layout>
        <c:manualLayout>
          <c:xMode val="edge"/>
          <c:yMode val="edge"/>
          <c:x val="0.16275"/>
          <c:y val="0.924"/>
          <c:w val="0.7347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19 de septiembre 2016 al 30 de enero de 2017 ($/ kilo con IVA)</a:t>
            </a:r>
          </a:p>
        </c:rich>
      </c:tx>
      <c:layout>
        <c:manualLayout>
          <c:xMode val="factor"/>
          <c:yMode val="factor"/>
          <c:x val="-0.00125"/>
          <c:y val="-0.01425"/>
        </c:manualLayout>
      </c:layout>
      <c:spPr>
        <a:noFill/>
        <a:ln w="3175">
          <a:noFill/>
        </a:ln>
      </c:spPr>
    </c:title>
    <c:plotArea>
      <c:layout>
        <c:manualLayout>
          <c:xMode val="edge"/>
          <c:yMode val="edge"/>
          <c:x val="0.0495"/>
          <c:y val="0.0895"/>
          <c:w val="0.95625"/>
          <c:h val="0.7902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20467505"/>
        <c:axId val="49989818"/>
      </c:lineChart>
      <c:dateAx>
        <c:axId val="20467505"/>
        <c:scaling>
          <c:orientation val="minMax"/>
        </c:scaling>
        <c:axPos val="b"/>
        <c:delete val="0"/>
        <c:numFmt formatCode="dd/mm" sourceLinked="0"/>
        <c:majorTickMark val="out"/>
        <c:minorTickMark val="none"/>
        <c:tickLblPos val="nextTo"/>
        <c:spPr>
          <a:ln w="3175">
            <a:solidFill>
              <a:srgbClr val="C0C0C0"/>
            </a:solidFill>
          </a:ln>
        </c:spPr>
        <c:crossAx val="49989818"/>
        <c:crosses val="autoZero"/>
        <c:auto val="0"/>
        <c:baseTimeUnit val="days"/>
        <c:majorUnit val="14"/>
        <c:majorTimeUnit val="days"/>
        <c:minorUnit val="1"/>
        <c:minorTimeUnit val="days"/>
        <c:noMultiLvlLbl val="0"/>
      </c:dateAx>
      <c:valAx>
        <c:axId val="49989818"/>
        <c:scaling>
          <c:orientation val="minMax"/>
          <c:max val="700"/>
          <c:min val="2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20467505"/>
        <c:crossesAt val="1"/>
        <c:crossBetween val="between"/>
        <c:dispUnits/>
      </c:valAx>
      <c:spPr>
        <a:noFill/>
        <a:ln>
          <a:noFill/>
        </a:ln>
      </c:spPr>
    </c:plotArea>
    <c:legend>
      <c:legendPos val="r"/>
      <c:layout>
        <c:manualLayout>
          <c:xMode val="edge"/>
          <c:yMode val="edge"/>
          <c:x val="0.1525"/>
          <c:y val="0.922"/>
          <c:w val="0.712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275"/>
          <c:y val="-0.01325"/>
        </c:manualLayout>
      </c:layout>
      <c:spPr>
        <a:noFill/>
        <a:ln w="3175">
          <a:noFill/>
        </a:ln>
      </c:spPr>
    </c:title>
    <c:plotArea>
      <c:layout>
        <c:manualLayout>
          <c:xMode val="edge"/>
          <c:yMode val="edge"/>
          <c:x val="0.057"/>
          <c:y val="0.0685"/>
          <c:w val="0.8885"/>
          <c:h val="0.854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rend'!$C$7:$C$23</c:f>
              <c:strCache/>
            </c:strRef>
          </c:cat>
          <c:val>
            <c:numRef>
              <c:f>'sup, prod y rend'!$D$7:$D$23</c:f>
              <c:numCache/>
            </c:numRef>
          </c:val>
          <c:smooth val="0"/>
        </c:ser>
        <c:marker val="1"/>
        <c:axId val="47255179"/>
        <c:axId val="22643428"/>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rend'!$C$7:$C$23</c:f>
              <c:strCache/>
            </c:strRef>
          </c:cat>
          <c:val>
            <c:numRef>
              <c:f>'sup, prod y rend'!$E$7:$E$23</c:f>
              <c:numCache/>
            </c:numRef>
          </c:val>
          <c:smooth val="0"/>
        </c:ser>
        <c:marker val="1"/>
        <c:axId val="2464261"/>
        <c:axId val="22178350"/>
      </c:lineChart>
      <c:catAx>
        <c:axId val="4725517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22643428"/>
        <c:crosses val="autoZero"/>
        <c:auto val="1"/>
        <c:lblOffset val="100"/>
        <c:tickLblSkip val="1"/>
        <c:noMultiLvlLbl val="0"/>
      </c:catAx>
      <c:valAx>
        <c:axId val="22643428"/>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2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47255179"/>
        <c:crossesAt val="1"/>
        <c:crossBetween val="between"/>
        <c:dispUnits/>
      </c:valAx>
      <c:catAx>
        <c:axId val="2464261"/>
        <c:scaling>
          <c:orientation val="minMax"/>
        </c:scaling>
        <c:axPos val="b"/>
        <c:delete val="1"/>
        <c:majorTickMark val="out"/>
        <c:minorTickMark val="none"/>
        <c:tickLblPos val="nextTo"/>
        <c:crossAx val="22178350"/>
        <c:crosses val="autoZero"/>
        <c:auto val="1"/>
        <c:lblOffset val="100"/>
        <c:tickLblSkip val="1"/>
        <c:noMultiLvlLbl val="0"/>
      </c:catAx>
      <c:valAx>
        <c:axId val="22178350"/>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05"/>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2464261"/>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4"/>
          <c:y val="0.9315"/>
          <c:w val="0.62525"/>
          <c:h val="0.06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45"/>
          <c:y val="0.073"/>
          <c:w val="0.939"/>
          <c:h val="0.8505"/>
        </c:manualLayout>
      </c:layout>
      <c:barChart>
        <c:barDir val="col"/>
        <c:grouping val="clustered"/>
        <c:varyColors val="0"/>
        <c:ser>
          <c:idx val="0"/>
          <c:order val="0"/>
          <c:tx>
            <c:strRef>
              <c:f>'sup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1"/>
          <c:order val="1"/>
          <c:tx>
            <c:strRef>
              <c:f>'sup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2"/>
          <c:order val="2"/>
          <c:tx>
            <c:strRef>
              <c:f>'sup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overlap val="-27"/>
        <c:gapWidth val="219"/>
        <c:axId val="65387423"/>
        <c:axId val="51615896"/>
      </c:barChart>
      <c:catAx>
        <c:axId val="653874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1615896"/>
        <c:crosses val="autoZero"/>
        <c:auto val="1"/>
        <c:lblOffset val="100"/>
        <c:tickLblSkip val="1"/>
        <c:noMultiLvlLbl val="0"/>
      </c:catAx>
      <c:valAx>
        <c:axId val="51615896"/>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5387423"/>
        <c:crossesAt val="1"/>
        <c:crossBetween val="between"/>
        <c:dispUnits/>
      </c:valAx>
      <c:spPr>
        <a:noFill/>
        <a:ln>
          <a:noFill/>
        </a:ln>
      </c:spPr>
    </c:plotArea>
    <c:legend>
      <c:legendPos val="r"/>
      <c:layout>
        <c:manualLayout>
          <c:xMode val="edge"/>
          <c:yMode val="edge"/>
          <c:x val="0.38075"/>
          <c:y val="0.928"/>
          <c:w val="0.24075"/>
          <c:h val="0.05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25"/>
          <c:y val="-0.0125"/>
        </c:manualLayout>
      </c:layout>
      <c:spPr>
        <a:noFill/>
        <a:ln w="3175">
          <a:noFill/>
        </a:ln>
      </c:spPr>
    </c:title>
    <c:plotArea>
      <c:layout>
        <c:manualLayout>
          <c:xMode val="edge"/>
          <c:yMode val="edge"/>
          <c:x val="0.04825"/>
          <c:y val="0.06925"/>
          <c:w val="0.93625"/>
          <c:h val="0.851"/>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61889881"/>
        <c:axId val="20138018"/>
      </c:barChart>
      <c:catAx>
        <c:axId val="618898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0138018"/>
        <c:crosses val="autoZero"/>
        <c:auto val="1"/>
        <c:lblOffset val="100"/>
        <c:tickLblSkip val="1"/>
        <c:noMultiLvlLbl val="0"/>
      </c:catAx>
      <c:valAx>
        <c:axId val="20138018"/>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5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1889881"/>
        <c:crossesAt val="1"/>
        <c:crossBetween val="between"/>
        <c:dispUnits/>
      </c:valAx>
      <c:spPr>
        <a:noFill/>
        <a:ln>
          <a:noFill/>
        </a:ln>
      </c:spPr>
    </c:plotArea>
    <c:legend>
      <c:legendPos val="r"/>
      <c:layout>
        <c:manualLayout>
          <c:xMode val="edge"/>
          <c:yMode val="edge"/>
          <c:x val="0.378"/>
          <c:y val="0.93225"/>
          <c:w val="0.24525"/>
          <c:h val="0.05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66675</xdr:rowOff>
    </xdr:from>
    <xdr:to>
      <xdr:col>6</xdr:col>
      <xdr:colOff>1190625</xdr:colOff>
      <xdr:row>48</xdr:row>
      <xdr:rowOff>76200</xdr:rowOff>
    </xdr:to>
    <xdr:graphicFrame>
      <xdr:nvGraphicFramePr>
        <xdr:cNvPr id="1" name="Gráfico 1"/>
        <xdr:cNvGraphicFramePr/>
      </xdr:nvGraphicFramePr>
      <xdr:xfrm>
        <a:off x="180975" y="4362450"/>
        <a:ext cx="7248525" cy="4105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22</xdr:row>
      <xdr:rowOff>390525</xdr:rowOff>
    </xdr:from>
    <xdr:to>
      <xdr:col>13</xdr:col>
      <xdr:colOff>85725</xdr:colOff>
      <xdr:row>44</xdr:row>
      <xdr:rowOff>57150</xdr:rowOff>
    </xdr:to>
    <xdr:graphicFrame>
      <xdr:nvGraphicFramePr>
        <xdr:cNvPr id="1" name="Gráfico 1"/>
        <xdr:cNvGraphicFramePr/>
      </xdr:nvGraphicFramePr>
      <xdr:xfrm>
        <a:off x="47625" y="3867150"/>
        <a:ext cx="9067800" cy="39814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85725</xdr:rowOff>
    </xdr:from>
    <xdr:to>
      <xdr:col>13</xdr:col>
      <xdr:colOff>19050</xdr:colOff>
      <xdr:row>46</xdr:row>
      <xdr:rowOff>123825</xdr:rowOff>
    </xdr:to>
    <xdr:graphicFrame>
      <xdr:nvGraphicFramePr>
        <xdr:cNvPr id="1" name="Gráfico 1"/>
        <xdr:cNvGraphicFramePr/>
      </xdr:nvGraphicFramePr>
      <xdr:xfrm>
        <a:off x="76200" y="4048125"/>
        <a:ext cx="8886825"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23</xdr:row>
      <xdr:rowOff>9525</xdr:rowOff>
    </xdr:from>
    <xdr:to>
      <xdr:col>13</xdr:col>
      <xdr:colOff>85725</xdr:colOff>
      <xdr:row>44</xdr:row>
      <xdr:rowOff>114300</xdr:rowOff>
    </xdr:to>
    <xdr:graphicFrame>
      <xdr:nvGraphicFramePr>
        <xdr:cNvPr id="1" name="Gráfico 2"/>
        <xdr:cNvGraphicFramePr/>
      </xdr:nvGraphicFramePr>
      <xdr:xfrm>
        <a:off x="171450" y="4029075"/>
        <a:ext cx="908685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58125"/>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772025" y="271462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905250" y="5210175"/>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400675" y="53721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467350" y="55149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505450" y="5695950"/>
          <a:ext cx="866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43450" y="505777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34000" y="491490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31</xdr:row>
      <xdr:rowOff>114300</xdr:rowOff>
    </xdr:from>
    <xdr:to>
      <xdr:col>3</xdr:col>
      <xdr:colOff>247650</xdr:colOff>
      <xdr:row>31</xdr:row>
      <xdr:rowOff>114300</xdr:rowOff>
    </xdr:to>
    <xdr:sp>
      <xdr:nvSpPr>
        <xdr:cNvPr id="11" name="Conector recto 33"/>
        <xdr:cNvSpPr>
          <a:spLocks/>
        </xdr:cNvSpPr>
      </xdr:nvSpPr>
      <xdr:spPr>
        <a:xfrm flipV="1">
          <a:off x="5448300" y="47339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57775" y="4552950"/>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095750" y="44005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886325" y="423862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14750" y="1400175"/>
          <a:ext cx="2686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886325" y="1924050"/>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172075" y="209550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172075" y="22383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467350" y="23907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686425" y="2571750"/>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400675" y="2895600"/>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467350" y="305752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581650" y="3200400"/>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53125" y="3552825"/>
          <a:ext cx="390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905500" y="3743325"/>
          <a:ext cx="42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114300</xdr:rowOff>
    </xdr:from>
    <xdr:to>
      <xdr:col>3</xdr:col>
      <xdr:colOff>190500</xdr:colOff>
      <xdr:row>22</xdr:row>
      <xdr:rowOff>114300</xdr:rowOff>
    </xdr:to>
    <xdr:sp>
      <xdr:nvSpPr>
        <xdr:cNvPr id="26" name="Conector recto 32"/>
        <xdr:cNvSpPr>
          <a:spLocks/>
        </xdr:cNvSpPr>
      </xdr:nvSpPr>
      <xdr:spPr>
        <a:xfrm flipV="1">
          <a:off x="4400550" y="3390900"/>
          <a:ext cx="1943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162175" y="1238250"/>
          <a:ext cx="4248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9525</xdr:rowOff>
    </xdr:from>
    <xdr:to>
      <xdr:col>7</xdr:col>
      <xdr:colOff>152400</xdr:colOff>
      <xdr:row>40</xdr:row>
      <xdr:rowOff>123825</xdr:rowOff>
    </xdr:to>
    <xdr:graphicFrame>
      <xdr:nvGraphicFramePr>
        <xdr:cNvPr id="1" name="Gráfico 2"/>
        <xdr:cNvGraphicFramePr/>
      </xdr:nvGraphicFramePr>
      <xdr:xfrm>
        <a:off x="142875" y="4419600"/>
        <a:ext cx="6286500" cy="30289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7172325"/>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54</xdr:row>
      <xdr:rowOff>133350</xdr:rowOff>
    </xdr:from>
    <xdr:ext cx="1000125" cy="209550"/>
    <xdr:sp>
      <xdr:nvSpPr>
        <xdr:cNvPr id="1" name="1 CuadroTexto"/>
        <xdr:cNvSpPr txBox="1">
          <a:spLocks noChangeArrowheads="1"/>
        </xdr:cNvSpPr>
      </xdr:nvSpPr>
      <xdr:spPr>
        <a:xfrm>
          <a:off x="123825" y="10115550"/>
          <a:ext cx="1000125"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1</xdr:col>
      <xdr:colOff>0</xdr:colOff>
      <xdr:row>36</xdr:row>
      <xdr:rowOff>38100</xdr:rowOff>
    </xdr:from>
    <xdr:to>
      <xdr:col>12</xdr:col>
      <xdr:colOff>228600</xdr:colOff>
      <xdr:row>55</xdr:row>
      <xdr:rowOff>38100</xdr:rowOff>
    </xdr:to>
    <xdr:graphicFrame>
      <xdr:nvGraphicFramePr>
        <xdr:cNvPr id="2" name="Gráfico 3"/>
        <xdr:cNvGraphicFramePr/>
      </xdr:nvGraphicFramePr>
      <xdr:xfrm>
        <a:off x="95250" y="6705600"/>
        <a:ext cx="8382000" cy="34766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114300</xdr:rowOff>
    </xdr:from>
    <xdr:to>
      <xdr:col>13</xdr:col>
      <xdr:colOff>9525</xdr:colOff>
      <xdr:row>59</xdr:row>
      <xdr:rowOff>76200</xdr:rowOff>
    </xdr:to>
    <xdr:graphicFrame>
      <xdr:nvGraphicFramePr>
        <xdr:cNvPr id="1" name="Gráfico 1"/>
        <xdr:cNvGraphicFramePr/>
      </xdr:nvGraphicFramePr>
      <xdr:xfrm>
        <a:off x="152400" y="6172200"/>
        <a:ext cx="10125075" cy="41719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85725</xdr:rowOff>
    </xdr:from>
    <xdr:ext cx="1781175" cy="228600"/>
    <xdr:sp>
      <xdr:nvSpPr>
        <xdr:cNvPr id="2" name="1 CuadroTexto"/>
        <xdr:cNvSpPr txBox="1">
          <a:spLocks noChangeArrowheads="1"/>
        </xdr:cNvSpPr>
      </xdr:nvSpPr>
      <xdr:spPr>
        <a:xfrm>
          <a:off x="95250" y="10001250"/>
          <a:ext cx="1781175" cy="22860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0.245</cdr:x>
      <cdr:y>1</cdr:y>
    </cdr:to>
    <cdr:sp>
      <cdr:nvSpPr>
        <cdr:cNvPr id="1" name="1 CuadroTexto"/>
        <cdr:cNvSpPr txBox="1">
          <a:spLocks noChangeArrowheads="1"/>
        </cdr:cNvSpPr>
      </cdr:nvSpPr>
      <cdr:spPr>
        <a:xfrm>
          <a:off x="0" y="3533775"/>
          <a:ext cx="2019300"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22</xdr:row>
      <xdr:rowOff>57150</xdr:rowOff>
    </xdr:from>
    <xdr:to>
      <xdr:col>9</xdr:col>
      <xdr:colOff>676275</xdr:colOff>
      <xdr:row>45</xdr:row>
      <xdr:rowOff>76200</xdr:rowOff>
    </xdr:to>
    <xdr:graphicFrame>
      <xdr:nvGraphicFramePr>
        <xdr:cNvPr id="1" name="Gráfico 1"/>
        <xdr:cNvGraphicFramePr/>
      </xdr:nvGraphicFramePr>
      <xdr:xfrm>
        <a:off x="142875" y="3695700"/>
        <a:ext cx="8248650"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38100</xdr:rowOff>
    </xdr:from>
    <xdr:to>
      <xdr:col>9</xdr:col>
      <xdr:colOff>476250</xdr:colOff>
      <xdr:row>56</xdr:row>
      <xdr:rowOff>114300</xdr:rowOff>
    </xdr:to>
    <xdr:graphicFrame>
      <xdr:nvGraphicFramePr>
        <xdr:cNvPr id="1" name="Gráfico 1"/>
        <xdr:cNvGraphicFramePr/>
      </xdr:nvGraphicFramePr>
      <xdr:xfrm>
        <a:off x="209550" y="4514850"/>
        <a:ext cx="7239000" cy="5124450"/>
      </xdr:xfrm>
      <a:graphic>
        <a:graphicData uri="http://schemas.openxmlformats.org/drawingml/2006/chart">
          <c:chart xmlns:c="http://schemas.openxmlformats.org/drawingml/2006/chart" r:id="rId1"/>
        </a:graphicData>
      </a:graphic>
    </xdr:graphicFrame>
    <xdr:clientData/>
  </xdr:twoCellAnchor>
  <xdr:twoCellAnchor>
    <xdr:from>
      <xdr:col>9</xdr:col>
      <xdr:colOff>485775</xdr:colOff>
      <xdr:row>28</xdr:row>
      <xdr:rowOff>38100</xdr:rowOff>
    </xdr:from>
    <xdr:to>
      <xdr:col>17</xdr:col>
      <xdr:colOff>790575</xdr:colOff>
      <xdr:row>56</xdr:row>
      <xdr:rowOff>114300</xdr:rowOff>
    </xdr:to>
    <xdr:graphicFrame>
      <xdr:nvGraphicFramePr>
        <xdr:cNvPr id="2" name="Gráfico 4"/>
        <xdr:cNvGraphicFramePr/>
      </xdr:nvGraphicFramePr>
      <xdr:xfrm>
        <a:off x="7458075" y="4514850"/>
        <a:ext cx="7191375" cy="51244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7%20B%20Papa\papa%20mayorista%20diari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din por variedad"/>
      <sheetName val="serie de precios"/>
      <sheetName val="din por mercado"/>
      <sheetName val="dinamica por volumen"/>
      <sheetName val="Hoja4"/>
      <sheetName val="Hoja3"/>
      <sheetName val="Hoja5"/>
      <sheetName val="Hoja7"/>
      <sheetName val="MERCADOS"/>
    </sheetNames>
    <sheetDataSet>
      <sheetData sheetId="5">
        <row r="1155">
          <cell r="A1155">
            <v>42583</v>
          </cell>
          <cell r="N1155">
            <v>13322.054000000002</v>
          </cell>
        </row>
        <row r="1156">
          <cell r="A1156">
            <v>42584</v>
          </cell>
          <cell r="N1156">
            <v>13175.628571428571</v>
          </cell>
        </row>
        <row r="1157">
          <cell r="A1157">
            <v>42585</v>
          </cell>
          <cell r="N1157">
            <v>12843.014285714287</v>
          </cell>
        </row>
        <row r="1158">
          <cell r="A1158">
            <v>42586</v>
          </cell>
          <cell r="N1158">
            <v>13533.377500000002</v>
          </cell>
        </row>
        <row r="1159">
          <cell r="A1159">
            <v>42587</v>
          </cell>
          <cell r="N1159">
            <v>12605.044999999998</v>
          </cell>
        </row>
        <row r="1160">
          <cell r="A1160">
            <v>42590</v>
          </cell>
          <cell r="N1160">
            <v>13073.872352941178</v>
          </cell>
        </row>
        <row r="1161">
          <cell r="A1161">
            <v>42591</v>
          </cell>
          <cell r="N1161">
            <v>13322.956666666665</v>
          </cell>
        </row>
        <row r="1162">
          <cell r="A1162">
            <v>42592</v>
          </cell>
          <cell r="N1162">
            <v>13805.365714285717</v>
          </cell>
        </row>
        <row r="1163">
          <cell r="A1163">
            <v>42593</v>
          </cell>
          <cell r="N1163">
            <v>13037.696666666667</v>
          </cell>
        </row>
        <row r="1164">
          <cell r="A1164">
            <v>42594</v>
          </cell>
          <cell r="N1164">
            <v>13180.218000000003</v>
          </cell>
        </row>
        <row r="1165">
          <cell r="A1165">
            <v>42598</v>
          </cell>
          <cell r="N1165">
            <v>13776.420400000003</v>
          </cell>
        </row>
        <row r="1166">
          <cell r="A1166">
            <v>42599</v>
          </cell>
          <cell r="N1166">
            <v>13079.028333333334</v>
          </cell>
        </row>
        <row r="1167">
          <cell r="A1167">
            <v>42600</v>
          </cell>
          <cell r="N1167">
            <v>13347.648181818182</v>
          </cell>
        </row>
        <row r="1168">
          <cell r="A1168">
            <v>42601</v>
          </cell>
          <cell r="N1168">
            <v>12585.710869565219</v>
          </cell>
        </row>
        <row r="1169">
          <cell r="A1169">
            <v>42604</v>
          </cell>
          <cell r="N1169">
            <v>13668.706666666669</v>
          </cell>
        </row>
        <row r="1170">
          <cell r="A1170">
            <v>42605</v>
          </cell>
          <cell r="N1170">
            <v>13153.682608695655</v>
          </cell>
        </row>
        <row r="1171">
          <cell r="A1171">
            <v>42606</v>
          </cell>
          <cell r="N1171">
            <v>13068.702352941176</v>
          </cell>
        </row>
        <row r="1172">
          <cell r="A1172">
            <v>42607</v>
          </cell>
          <cell r="N1172">
            <v>14193.095500000001</v>
          </cell>
        </row>
        <row r="1173">
          <cell r="A1173">
            <v>42608</v>
          </cell>
          <cell r="N1173">
            <v>12712.490909090906</v>
          </cell>
        </row>
        <row r="1174">
          <cell r="A1174">
            <v>42611</v>
          </cell>
          <cell r="N1174">
            <v>13119.215625000003</v>
          </cell>
        </row>
        <row r="1175">
          <cell r="A1175">
            <v>42612</v>
          </cell>
          <cell r="N1175">
            <v>13144.108181818185</v>
          </cell>
        </row>
        <row r="1176">
          <cell r="A1176">
            <v>42613</v>
          </cell>
          <cell r="N1176">
            <v>12394.188125</v>
          </cell>
        </row>
        <row r="1177">
          <cell r="A1177">
            <v>42614</v>
          </cell>
          <cell r="N1177">
            <v>12800.534500000002</v>
          </cell>
        </row>
        <row r="1178">
          <cell r="A1178">
            <v>42615</v>
          </cell>
          <cell r="N1178">
            <v>11740.618695652176</v>
          </cell>
        </row>
        <row r="1179">
          <cell r="A1179">
            <v>42618</v>
          </cell>
          <cell r="N1179">
            <v>12746.368999999999</v>
          </cell>
        </row>
        <row r="1180">
          <cell r="A1180">
            <v>42619</v>
          </cell>
          <cell r="N1180">
            <v>11922.868750000001</v>
          </cell>
        </row>
        <row r="1181">
          <cell r="A1181">
            <v>42620</v>
          </cell>
          <cell r="N1181">
            <v>11367.87</v>
          </cell>
        </row>
        <row r="1182">
          <cell r="A1182">
            <v>42621</v>
          </cell>
          <cell r="N1182">
            <v>11273.563</v>
          </cell>
        </row>
        <row r="1183">
          <cell r="A1183">
            <v>42622</v>
          </cell>
          <cell r="N1183">
            <v>11739.045</v>
          </cell>
        </row>
        <row r="1184">
          <cell r="A1184">
            <v>42625</v>
          </cell>
          <cell r="N1184">
            <v>11846.430499999999</v>
          </cell>
        </row>
        <row r="1185">
          <cell r="A1185">
            <v>42626</v>
          </cell>
          <cell r="N1185">
            <v>11286.07086956522</v>
          </cell>
        </row>
        <row r="1186">
          <cell r="A1186">
            <v>42627</v>
          </cell>
          <cell r="N1186">
            <v>11225.88277777778</v>
          </cell>
        </row>
        <row r="1187">
          <cell r="A1187">
            <v>42628</v>
          </cell>
          <cell r="N1187">
            <v>12292.6975</v>
          </cell>
        </row>
        <row r="1188">
          <cell r="A1188">
            <v>42629</v>
          </cell>
          <cell r="N1188">
            <v>10846.71411764706</v>
          </cell>
        </row>
        <row r="1189">
          <cell r="A1189">
            <v>42633</v>
          </cell>
          <cell r="N1189">
            <v>10909.665833333333</v>
          </cell>
        </row>
        <row r="1190">
          <cell r="A1190">
            <v>42634</v>
          </cell>
          <cell r="N1190">
            <v>11126.110588235297</v>
          </cell>
        </row>
        <row r="1191">
          <cell r="A1191">
            <v>42635</v>
          </cell>
          <cell r="N1191">
            <v>10829.448124999999</v>
          </cell>
        </row>
        <row r="1192">
          <cell r="A1192">
            <v>42636</v>
          </cell>
          <cell r="N1192">
            <v>11198.668500000002</v>
          </cell>
        </row>
        <row r="1193">
          <cell r="A1193">
            <v>42639</v>
          </cell>
          <cell r="N1193">
            <v>11059.76947368421</v>
          </cell>
        </row>
        <row r="1194">
          <cell r="A1194">
            <v>42640</v>
          </cell>
          <cell r="N1194">
            <v>11860.072608695655</v>
          </cell>
        </row>
        <row r="1195">
          <cell r="A1195">
            <v>42641</v>
          </cell>
          <cell r="N1195">
            <v>11593.721499999998</v>
          </cell>
        </row>
        <row r="1196">
          <cell r="A1196">
            <v>42642</v>
          </cell>
          <cell r="N1196">
            <v>10999.501999999999</v>
          </cell>
        </row>
        <row r="1197">
          <cell r="A1197">
            <v>42643</v>
          </cell>
          <cell r="N1197">
            <v>11252.285416666666</v>
          </cell>
        </row>
        <row r="1198">
          <cell r="A1198">
            <v>42646</v>
          </cell>
          <cell r="N1198">
            <v>10803.23142857143</v>
          </cell>
        </row>
        <row r="1199">
          <cell r="A1199">
            <v>42647</v>
          </cell>
          <cell r="N1199">
            <v>10944.638666666666</v>
          </cell>
        </row>
        <row r="1200">
          <cell r="A1200">
            <v>42648</v>
          </cell>
          <cell r="N1200">
            <v>11628.929999999997</v>
          </cell>
        </row>
        <row r="1201">
          <cell r="A1201">
            <v>42649</v>
          </cell>
          <cell r="N1201">
            <v>11310.477777777776</v>
          </cell>
        </row>
        <row r="1202">
          <cell r="A1202">
            <v>42650</v>
          </cell>
          <cell r="N1202">
            <v>12115.084705882353</v>
          </cell>
        </row>
        <row r="1203">
          <cell r="A1203">
            <v>42654</v>
          </cell>
          <cell r="N1203">
            <v>11626.400526315789</v>
          </cell>
        </row>
        <row r="1204">
          <cell r="A1204">
            <v>42655</v>
          </cell>
          <cell r="N1204">
            <v>12075.538125000001</v>
          </cell>
        </row>
        <row r="1205">
          <cell r="A1205">
            <v>42656</v>
          </cell>
          <cell r="N1205">
            <v>10748.021176470587</v>
          </cell>
        </row>
        <row r="1206">
          <cell r="A1206">
            <v>42657</v>
          </cell>
          <cell r="N1206">
            <v>10438.7</v>
          </cell>
        </row>
        <row r="1207">
          <cell r="A1207">
            <v>42660</v>
          </cell>
          <cell r="N1207">
            <v>11663.339999999997</v>
          </cell>
        </row>
        <row r="1208">
          <cell r="A1208">
            <v>42661</v>
          </cell>
          <cell r="N1208">
            <v>10620.03777777778</v>
          </cell>
        </row>
        <row r="1209">
          <cell r="A1209">
            <v>42662</v>
          </cell>
          <cell r="N1209">
            <v>10833.171666666667</v>
          </cell>
        </row>
        <row r="1210">
          <cell r="A1210">
            <v>42663</v>
          </cell>
          <cell r="N1210">
            <v>12918.86625</v>
          </cell>
        </row>
        <row r="1211">
          <cell r="A1211">
            <v>42664</v>
          </cell>
          <cell r="N1211">
            <v>11408.485000000002</v>
          </cell>
        </row>
        <row r="1212">
          <cell r="A1212">
            <v>42667</v>
          </cell>
          <cell r="N1212">
            <v>11300.930666666665</v>
          </cell>
        </row>
        <row r="1213">
          <cell r="A1213">
            <v>42668</v>
          </cell>
          <cell r="N1213">
            <v>11943.237500000001</v>
          </cell>
        </row>
        <row r="1214">
          <cell r="A1214">
            <v>42669</v>
          </cell>
          <cell r="N1214">
            <v>11292.632222222222</v>
          </cell>
        </row>
        <row r="1215">
          <cell r="A1215">
            <v>42670</v>
          </cell>
          <cell r="N1215">
            <v>11944.809375</v>
          </cell>
        </row>
        <row r="1216">
          <cell r="A1216">
            <v>42671</v>
          </cell>
          <cell r="N1216">
            <v>11033.556153846155</v>
          </cell>
        </row>
        <row r="1217">
          <cell r="A1217">
            <v>42676</v>
          </cell>
          <cell r="N1217">
            <v>11371.276428571427</v>
          </cell>
        </row>
        <row r="1218">
          <cell r="A1218">
            <v>42677</v>
          </cell>
          <cell r="N1218">
            <v>10601.485</v>
          </cell>
        </row>
        <row r="1219">
          <cell r="A1219">
            <v>42678</v>
          </cell>
          <cell r="N1219">
            <v>12506.156470588232</v>
          </cell>
        </row>
        <row r="1220">
          <cell r="A1220">
            <v>42681</v>
          </cell>
          <cell r="N1220">
            <v>12594.148461538463</v>
          </cell>
        </row>
        <row r="1221">
          <cell r="A1221">
            <v>42682</v>
          </cell>
          <cell r="N1221">
            <v>11383.920588235293</v>
          </cell>
        </row>
        <row r="1222">
          <cell r="A1222">
            <v>42683</v>
          </cell>
          <cell r="N1222">
            <v>12628.185333333333</v>
          </cell>
        </row>
        <row r="1223">
          <cell r="A1223">
            <v>42684</v>
          </cell>
          <cell r="N1223">
            <v>11920.376666666667</v>
          </cell>
        </row>
        <row r="1224">
          <cell r="A1224">
            <v>42685</v>
          </cell>
          <cell r="N1224">
            <v>10821.98470588235</v>
          </cell>
        </row>
        <row r="1225">
          <cell r="A1225">
            <v>42688</v>
          </cell>
          <cell r="N1225">
            <v>11036.156923076922</v>
          </cell>
        </row>
        <row r="1226">
          <cell r="A1226">
            <v>42689</v>
          </cell>
          <cell r="N1226">
            <v>11459.387999999999</v>
          </cell>
        </row>
        <row r="1227">
          <cell r="A1227">
            <v>42690</v>
          </cell>
          <cell r="N1227">
            <v>11176.292307692309</v>
          </cell>
        </row>
        <row r="1228">
          <cell r="A1228">
            <v>42691</v>
          </cell>
          <cell r="N1228">
            <v>9770.022857142858</v>
          </cell>
        </row>
        <row r="1229">
          <cell r="A1229">
            <v>42692</v>
          </cell>
          <cell r="N1229">
            <v>10443.101875000002</v>
          </cell>
        </row>
        <row r="1230">
          <cell r="A1230">
            <v>42695</v>
          </cell>
          <cell r="N1230">
            <v>9662.692307692309</v>
          </cell>
        </row>
        <row r="1231">
          <cell r="A1231">
            <v>42696</v>
          </cell>
          <cell r="N1231">
            <v>11090.54642857143</v>
          </cell>
        </row>
        <row r="1232">
          <cell r="A1232">
            <v>42697</v>
          </cell>
          <cell r="N1232">
            <v>9622.967142857142</v>
          </cell>
        </row>
        <row r="1233">
          <cell r="A1233">
            <v>42698</v>
          </cell>
          <cell r="N1233">
            <v>9752.800714285713</v>
          </cell>
        </row>
        <row r="1234">
          <cell r="A1234">
            <v>42699</v>
          </cell>
          <cell r="N1234">
            <v>10702.920000000002</v>
          </cell>
        </row>
        <row r="1235">
          <cell r="A1235">
            <v>42702</v>
          </cell>
          <cell r="N1235">
            <v>8106.704285714286</v>
          </cell>
        </row>
        <row r="1236">
          <cell r="A1236">
            <v>42703</v>
          </cell>
          <cell r="N1236">
            <v>9844.30315789474</v>
          </cell>
        </row>
        <row r="1237">
          <cell r="A1237">
            <v>42704</v>
          </cell>
          <cell r="N1237">
            <v>8669.943846153847</v>
          </cell>
        </row>
        <row r="1238">
          <cell r="A1238">
            <v>42705</v>
          </cell>
          <cell r="N1238">
            <v>9342.102499999999</v>
          </cell>
        </row>
        <row r="1239">
          <cell r="A1239">
            <v>42706</v>
          </cell>
          <cell r="N1239">
            <v>8007.094705882356</v>
          </cell>
        </row>
        <row r="1240">
          <cell r="A1240">
            <v>42709</v>
          </cell>
          <cell r="N1240">
            <v>7267.326666666667</v>
          </cell>
        </row>
        <row r="1241">
          <cell r="A1241">
            <v>42710</v>
          </cell>
          <cell r="N1241">
            <v>7565.261333333331</v>
          </cell>
        </row>
        <row r="1242">
          <cell r="A1242">
            <v>42711</v>
          </cell>
          <cell r="N1242">
            <v>8363.95411764706</v>
          </cell>
        </row>
        <row r="1243">
          <cell r="A1243">
            <v>42713</v>
          </cell>
          <cell r="N1243">
            <v>7597.291333333333</v>
          </cell>
        </row>
        <row r="1244">
          <cell r="A1244">
            <v>42716</v>
          </cell>
          <cell r="N1244">
            <v>6990.356363636363</v>
          </cell>
        </row>
        <row r="1245">
          <cell r="A1245">
            <v>42717</v>
          </cell>
          <cell r="N1245">
            <v>8278.164999999999</v>
          </cell>
        </row>
        <row r="1246">
          <cell r="A1246">
            <v>42718</v>
          </cell>
          <cell r="N1246">
            <v>6747.316923076923</v>
          </cell>
        </row>
        <row r="1247">
          <cell r="A1247">
            <v>42719</v>
          </cell>
          <cell r="N1247">
            <v>7892.278750000001</v>
          </cell>
        </row>
        <row r="1248">
          <cell r="A1248">
            <v>42720</v>
          </cell>
          <cell r="N1248">
            <v>6409.62642857143</v>
          </cell>
        </row>
        <row r="1249">
          <cell r="A1249">
            <v>42723</v>
          </cell>
          <cell r="N1249">
            <v>6687.568181818182</v>
          </cell>
        </row>
        <row r="1250">
          <cell r="A1250">
            <v>42724</v>
          </cell>
          <cell r="N1250">
            <v>6086.739285714285</v>
          </cell>
        </row>
        <row r="1251">
          <cell r="A1251">
            <v>42725</v>
          </cell>
          <cell r="N1251">
            <v>6485.287142857143</v>
          </cell>
        </row>
        <row r="1252">
          <cell r="A1252">
            <v>42726</v>
          </cell>
          <cell r="N1252">
            <v>7318.786470588235</v>
          </cell>
        </row>
        <row r="1253">
          <cell r="A1253">
            <v>42727</v>
          </cell>
          <cell r="N1253">
            <v>5925.372857142858</v>
          </cell>
        </row>
        <row r="1254">
          <cell r="A1254">
            <v>42730</v>
          </cell>
          <cell r="N1254">
            <v>8232.770000000002</v>
          </cell>
        </row>
        <row r="1255">
          <cell r="A1255">
            <v>42731</v>
          </cell>
          <cell r="N1255">
            <v>7533.049375</v>
          </cell>
        </row>
        <row r="1256">
          <cell r="A1256">
            <v>42732</v>
          </cell>
          <cell r="N1256">
            <v>7222.264545454545</v>
          </cell>
        </row>
        <row r="1257">
          <cell r="A1257">
            <v>42733</v>
          </cell>
          <cell r="N1257">
            <v>7783.116153846154</v>
          </cell>
        </row>
        <row r="1258">
          <cell r="A1258">
            <v>42734</v>
          </cell>
          <cell r="N1258">
            <v>5852.01</v>
          </cell>
        </row>
        <row r="1259">
          <cell r="A1259">
            <v>42738</v>
          </cell>
          <cell r="N1259">
            <v>7102.334666666667</v>
          </cell>
        </row>
        <row r="1260">
          <cell r="A1260">
            <v>42739</v>
          </cell>
          <cell r="N1260">
            <v>7027.242307692309</v>
          </cell>
        </row>
        <row r="1261">
          <cell r="A1261">
            <v>42740</v>
          </cell>
          <cell r="N1261">
            <v>7756.815714285716</v>
          </cell>
        </row>
        <row r="1262">
          <cell r="A1262">
            <v>42741</v>
          </cell>
          <cell r="N1262">
            <v>6063.4299999999985</v>
          </cell>
        </row>
        <row r="1263">
          <cell r="A1263">
            <v>42744</v>
          </cell>
          <cell r="N1263">
            <v>6119.108181818182</v>
          </cell>
        </row>
        <row r="1264">
          <cell r="A1264">
            <v>42745</v>
          </cell>
          <cell r="N1264">
            <v>6282.48294117647</v>
          </cell>
        </row>
        <row r="1265">
          <cell r="A1265">
            <v>42746</v>
          </cell>
          <cell r="N1265">
            <v>5267.891666666667</v>
          </cell>
        </row>
        <row r="1266">
          <cell r="A1266">
            <v>42747</v>
          </cell>
          <cell r="N1266">
            <v>7006.147999999999</v>
          </cell>
        </row>
        <row r="1267">
          <cell r="A1267">
            <v>42748</v>
          </cell>
          <cell r="N1267">
            <v>6022.377333333333</v>
          </cell>
        </row>
        <row r="1268">
          <cell r="A1268">
            <v>42751</v>
          </cell>
          <cell r="N1268">
            <v>6690.755</v>
          </cell>
        </row>
        <row r="1269">
          <cell r="A1269">
            <v>42752</v>
          </cell>
          <cell r="N1269">
            <v>5595.665</v>
          </cell>
        </row>
        <row r="1270">
          <cell r="A1270">
            <v>42753</v>
          </cell>
          <cell r="N1270">
            <v>6221.053846153846</v>
          </cell>
        </row>
        <row r="1271">
          <cell r="A1271">
            <v>42754</v>
          </cell>
          <cell r="N1271">
            <v>6805.902857142859</v>
          </cell>
        </row>
        <row r="1272">
          <cell r="A1272">
            <v>42755</v>
          </cell>
          <cell r="N1272">
            <v>5357.04</v>
          </cell>
        </row>
        <row r="1273">
          <cell r="A1273">
            <v>42758</v>
          </cell>
          <cell r="N1273">
            <v>6216.356428571429</v>
          </cell>
        </row>
        <row r="1274">
          <cell r="A1274">
            <v>42759</v>
          </cell>
          <cell r="N1274">
            <v>6080.179375</v>
          </cell>
        </row>
        <row r="1275">
          <cell r="A1275">
            <v>42760</v>
          </cell>
          <cell r="N1275">
            <v>5978.636428571428</v>
          </cell>
        </row>
        <row r="1276">
          <cell r="A1276">
            <v>42761</v>
          </cell>
          <cell r="N1276">
            <v>6110.475882352941</v>
          </cell>
        </row>
        <row r="1277">
          <cell r="A1277">
            <v>42762</v>
          </cell>
          <cell r="N1277">
            <v>6220.400000000001</v>
          </cell>
        </row>
        <row r="1278">
          <cell r="A1278">
            <v>42765</v>
          </cell>
          <cell r="N1278">
            <v>6599.175454545455</v>
          </cell>
        </row>
        <row r="1279">
          <cell r="A1279">
            <v>42766</v>
          </cell>
          <cell r="N1279">
            <v>6746.734615384615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rie de preci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A1" sqref="A1"/>
    </sheetView>
  </sheetViews>
  <sheetFormatPr defaultColWidth="10.8515625" defaultRowHeight="15"/>
  <cols>
    <col min="1" max="27" width="10.8515625" style="76" customWidth="1"/>
    <col min="28" max="16384" width="10.8515625" style="76" customWidth="1"/>
  </cols>
  <sheetData>
    <row r="1" ht="15">
      <c r="A1" s="79"/>
    </row>
    <row r="13" spans="6:10" ht="25.5">
      <c r="F13" s="80"/>
      <c r="G13" s="80"/>
      <c r="H13" s="81"/>
      <c r="I13" s="81"/>
      <c r="J13" s="81"/>
    </row>
    <row r="14" spans="5:7" ht="15">
      <c r="E14" s="77"/>
      <c r="F14" s="77"/>
      <c r="G14" s="77"/>
    </row>
    <row r="15" spans="5:10" ht="15.75">
      <c r="E15" s="82"/>
      <c r="F15" s="83"/>
      <c r="G15" s="83"/>
      <c r="H15" s="84"/>
      <c r="I15" s="84"/>
      <c r="J15" s="84"/>
    </row>
    <row r="20" ht="25.5">
      <c r="D20" s="80" t="s">
        <v>111</v>
      </c>
    </row>
    <row r="39" spans="4:6" ht="15.75">
      <c r="D39" s="332"/>
      <c r="E39" s="333"/>
      <c r="F39" s="333"/>
    </row>
    <row r="42" ht="15.75">
      <c r="E42" s="163" t="s">
        <v>255</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A1:AD48"/>
  <sheetViews>
    <sheetView zoomScale="80" zoomScaleNormal="80" zoomScalePageLayoutView="60" workbookViewId="0" topLeftCell="A1">
      <selection activeCell="A1" sqref="A1"/>
    </sheetView>
  </sheetViews>
  <sheetFormatPr defaultColWidth="10.8515625" defaultRowHeight="15"/>
  <cols>
    <col min="1" max="1" width="1.7109375" style="35" customWidth="1"/>
    <col min="2" max="2" width="12.140625" style="35" customWidth="1"/>
    <col min="3" max="3" width="11.8515625" style="35" customWidth="1"/>
    <col min="4" max="4" width="13.7109375" style="35" customWidth="1"/>
    <col min="5" max="5" width="14.421875" style="35" customWidth="1"/>
    <col min="6" max="7" width="12.00390625" style="35" customWidth="1"/>
    <col min="8" max="8" width="12.7109375" style="35" customWidth="1"/>
    <col min="9" max="9" width="14.00390625" style="35" customWidth="1"/>
    <col min="10" max="10" width="13.00390625" style="35" customWidth="1"/>
    <col min="11" max="11" width="12.00390625" style="35" customWidth="1"/>
    <col min="12" max="12" width="13.8515625" style="35" customWidth="1"/>
    <col min="13" max="13" width="13.421875" style="35" customWidth="1"/>
    <col min="14" max="14" width="12.28125" style="35" customWidth="1"/>
    <col min="15" max="15" width="12.00390625" style="35" customWidth="1"/>
    <col min="16" max="16" width="13.00390625" style="35" customWidth="1"/>
    <col min="17" max="17" width="13.7109375" style="35" customWidth="1"/>
    <col min="18" max="18" width="13.00390625" style="35" customWidth="1"/>
    <col min="19" max="19" width="2.140625" style="35" customWidth="1"/>
    <col min="20" max="20" width="10.8515625" style="35" customWidth="1"/>
    <col min="21" max="21" width="10.8515625" style="171" customWidth="1"/>
    <col min="22" max="22" width="10.8515625" style="273" hidden="1" customWidth="1"/>
    <col min="23" max="23" width="9.28125" style="273" hidden="1" customWidth="1"/>
    <col min="24" max="24" width="13.00390625" style="273" hidden="1" customWidth="1"/>
    <col min="25" max="25" width="13.140625" style="273" hidden="1" customWidth="1"/>
    <col min="26" max="26" width="7.140625" style="273" hidden="1" customWidth="1"/>
    <col min="27" max="27" width="8.140625" style="273" hidden="1" customWidth="1"/>
    <col min="28" max="28" width="9.28125" style="273" hidden="1" customWidth="1"/>
    <col min="29" max="29" width="15.7109375" style="273" hidden="1" customWidth="1"/>
    <col min="30" max="30" width="13.140625" style="273" hidden="1" customWidth="1"/>
    <col min="31" max="31" width="10.8515625" style="171" customWidth="1"/>
    <col min="32" max="16384" width="10.8515625" style="35" customWidth="1"/>
  </cols>
  <sheetData>
    <row r="1" spans="1:3" ht="8.25" customHeight="1">
      <c r="A1" s="35" t="s">
        <v>251</v>
      </c>
      <c r="B1" s="250"/>
      <c r="C1" s="250"/>
    </row>
    <row r="2" spans="2:20" ht="12.75">
      <c r="B2" s="354" t="s">
        <v>60</v>
      </c>
      <c r="C2" s="354"/>
      <c r="D2" s="354"/>
      <c r="E2" s="354"/>
      <c r="F2" s="354"/>
      <c r="G2" s="354"/>
      <c r="H2" s="354"/>
      <c r="I2" s="354"/>
      <c r="J2" s="354"/>
      <c r="K2" s="354"/>
      <c r="L2" s="354"/>
      <c r="M2" s="354"/>
      <c r="N2" s="354"/>
      <c r="O2" s="354"/>
      <c r="P2" s="354"/>
      <c r="Q2" s="354"/>
      <c r="R2" s="354"/>
      <c r="S2" s="192"/>
      <c r="T2" s="48" t="s">
        <v>152</v>
      </c>
    </row>
    <row r="3" spans="2:19" ht="12.75">
      <c r="B3" s="354" t="s">
        <v>148</v>
      </c>
      <c r="C3" s="354"/>
      <c r="D3" s="354"/>
      <c r="E3" s="354"/>
      <c r="F3" s="354"/>
      <c r="G3" s="354"/>
      <c r="H3" s="354"/>
      <c r="I3" s="354"/>
      <c r="J3" s="354"/>
      <c r="K3" s="354"/>
      <c r="L3" s="354"/>
      <c r="M3" s="354"/>
      <c r="N3" s="354"/>
      <c r="O3" s="354"/>
      <c r="P3" s="354"/>
      <c r="Q3" s="354"/>
      <c r="R3" s="354"/>
      <c r="S3" s="192"/>
    </row>
    <row r="4" spans="2:19" ht="12.75">
      <c r="B4" s="354" t="s">
        <v>109</v>
      </c>
      <c r="C4" s="354"/>
      <c r="D4" s="354"/>
      <c r="E4" s="354"/>
      <c r="F4" s="354"/>
      <c r="G4" s="354"/>
      <c r="H4" s="354"/>
      <c r="I4" s="354"/>
      <c r="J4" s="354"/>
      <c r="K4" s="354"/>
      <c r="L4" s="354"/>
      <c r="M4" s="354"/>
      <c r="N4" s="354"/>
      <c r="O4" s="354"/>
      <c r="P4" s="354"/>
      <c r="Q4" s="354"/>
      <c r="R4" s="354"/>
      <c r="S4" s="192"/>
    </row>
    <row r="5" spans="3:20" ht="12.75">
      <c r="C5" s="365" t="s">
        <v>224</v>
      </c>
      <c r="D5" s="365"/>
      <c r="E5" s="365"/>
      <c r="F5" s="365"/>
      <c r="G5" s="365"/>
      <c r="H5" s="365"/>
      <c r="I5" s="365"/>
      <c r="J5" s="365"/>
      <c r="K5" s="365" t="s">
        <v>225</v>
      </c>
      <c r="L5" s="365"/>
      <c r="M5" s="365"/>
      <c r="N5" s="365"/>
      <c r="O5" s="365"/>
      <c r="P5" s="365"/>
      <c r="Q5" s="365"/>
      <c r="R5" s="365"/>
      <c r="S5" s="197"/>
      <c r="T5" s="194"/>
    </row>
    <row r="6" spans="2:30" ht="12.75">
      <c r="B6" s="198" t="s">
        <v>139</v>
      </c>
      <c r="C6" s="199" t="s">
        <v>164</v>
      </c>
      <c r="D6" s="200" t="s">
        <v>23</v>
      </c>
      <c r="E6" s="200" t="s">
        <v>22</v>
      </c>
      <c r="F6" s="200" t="s">
        <v>138</v>
      </c>
      <c r="G6" s="200" t="s">
        <v>19</v>
      </c>
      <c r="H6" s="200" t="s">
        <v>18</v>
      </c>
      <c r="I6" s="200" t="s">
        <v>17</v>
      </c>
      <c r="J6" s="201" t="s">
        <v>15</v>
      </c>
      <c r="K6" s="199" t="s">
        <v>164</v>
      </c>
      <c r="L6" s="200" t="s">
        <v>23</v>
      </c>
      <c r="M6" s="200" t="s">
        <v>22</v>
      </c>
      <c r="N6" s="200" t="s">
        <v>138</v>
      </c>
      <c r="O6" s="200" t="s">
        <v>19</v>
      </c>
      <c r="P6" s="200" t="s">
        <v>18</v>
      </c>
      <c r="Q6" s="200" t="s">
        <v>17</v>
      </c>
      <c r="R6" s="201" t="s">
        <v>15</v>
      </c>
      <c r="S6" s="126"/>
      <c r="T6" s="194"/>
      <c r="W6" s="323" t="s">
        <v>164</v>
      </c>
      <c r="X6" s="323" t="s">
        <v>23</v>
      </c>
      <c r="Y6" s="323" t="s">
        <v>22</v>
      </c>
      <c r="Z6" s="323" t="s">
        <v>138</v>
      </c>
      <c r="AA6" s="323" t="s">
        <v>19</v>
      </c>
      <c r="AB6" s="323" t="s">
        <v>18</v>
      </c>
      <c r="AC6" s="323" t="s">
        <v>17</v>
      </c>
      <c r="AD6" s="323" t="s">
        <v>15</v>
      </c>
    </row>
    <row r="7" spans="2:30" ht="12.75">
      <c r="B7" s="202">
        <v>42625</v>
      </c>
      <c r="C7" s="203">
        <v>1073</v>
      </c>
      <c r="D7" s="103">
        <v>1113</v>
      </c>
      <c r="E7" s="103">
        <v>1084</v>
      </c>
      <c r="F7" s="103">
        <v>1055</v>
      </c>
      <c r="G7" s="103">
        <v>998</v>
      </c>
      <c r="H7" s="103">
        <v>978</v>
      </c>
      <c r="I7" s="103">
        <v>1075</v>
      </c>
      <c r="J7" s="204">
        <v>1062</v>
      </c>
      <c r="K7" s="203">
        <v>638</v>
      </c>
      <c r="L7" s="103">
        <v>583</v>
      </c>
      <c r="M7" s="103">
        <v>375</v>
      </c>
      <c r="N7" s="103">
        <v>486</v>
      </c>
      <c r="O7" s="103">
        <v>492</v>
      </c>
      <c r="P7" s="103">
        <v>381</v>
      </c>
      <c r="Q7" s="103">
        <v>423</v>
      </c>
      <c r="R7" s="204">
        <v>400</v>
      </c>
      <c r="S7" s="127"/>
      <c r="T7" s="194"/>
      <c r="W7" s="317">
        <f>+IF(K7="","",((C7-K7)/K7))</f>
        <v>0.6818181818181818</v>
      </c>
      <c r="X7" s="317">
        <f aca="true" t="shared" si="0" ref="X7:AD22">+IF(L7="","",((D7-L7)/L7))</f>
        <v>0.9090909090909091</v>
      </c>
      <c r="Y7" s="317">
        <f t="shared" si="0"/>
        <v>1.8906666666666667</v>
      </c>
      <c r="Z7" s="317">
        <f t="shared" si="0"/>
        <v>1.1707818930041152</v>
      </c>
      <c r="AA7" s="317">
        <f t="shared" si="0"/>
        <v>1.0284552845528456</v>
      </c>
      <c r="AB7" s="317">
        <f t="shared" si="0"/>
        <v>1.5669291338582678</v>
      </c>
      <c r="AC7" s="317">
        <f t="shared" si="0"/>
        <v>1.541371158392435</v>
      </c>
      <c r="AD7" s="317">
        <f t="shared" si="0"/>
        <v>1.655</v>
      </c>
    </row>
    <row r="8" spans="2:30" ht="12.75">
      <c r="B8" s="202">
        <v>42632</v>
      </c>
      <c r="C8" s="203">
        <v>1026</v>
      </c>
      <c r="D8" s="103">
        <v>1070</v>
      </c>
      <c r="E8" s="103">
        <v>1068</v>
      </c>
      <c r="F8" s="103">
        <v>1023</v>
      </c>
      <c r="G8" s="103">
        <v>1025</v>
      </c>
      <c r="H8" s="103">
        <v>953</v>
      </c>
      <c r="I8" s="103">
        <v>1037</v>
      </c>
      <c r="J8" s="204">
        <v>1045</v>
      </c>
      <c r="K8" s="203">
        <v>667</v>
      </c>
      <c r="L8" s="103">
        <v>592</v>
      </c>
      <c r="M8" s="103">
        <v>538</v>
      </c>
      <c r="N8" s="103">
        <v>495</v>
      </c>
      <c r="O8" s="103">
        <v>539</v>
      </c>
      <c r="P8" s="103">
        <v>419</v>
      </c>
      <c r="Q8" s="103">
        <v>425</v>
      </c>
      <c r="R8" s="204">
        <v>425</v>
      </c>
      <c r="S8" s="127"/>
      <c r="T8" s="194"/>
      <c r="W8" s="317">
        <f aca="true" t="shared" si="1" ref="W8:W27">+IF(K8="","",((C8-K8)/K8))</f>
        <v>0.5382308845577212</v>
      </c>
      <c r="X8" s="317">
        <f t="shared" si="0"/>
        <v>0.8074324324324325</v>
      </c>
      <c r="Y8" s="317">
        <f t="shared" si="0"/>
        <v>0.9851301115241635</v>
      </c>
      <c r="Z8" s="317">
        <f t="shared" si="0"/>
        <v>1.0666666666666667</v>
      </c>
      <c r="AA8" s="317">
        <f t="shared" si="0"/>
        <v>0.9016697588126159</v>
      </c>
      <c r="AB8" s="317">
        <f t="shared" si="0"/>
        <v>1.2744630071599046</v>
      </c>
      <c r="AC8" s="317">
        <f t="shared" si="0"/>
        <v>1.44</v>
      </c>
      <c r="AD8" s="317">
        <f t="shared" si="0"/>
        <v>1.4588235294117646</v>
      </c>
    </row>
    <row r="9" spans="2:30" ht="12.75">
      <c r="B9" s="202">
        <v>42639</v>
      </c>
      <c r="C9" s="203">
        <v>1123</v>
      </c>
      <c r="D9" s="103">
        <v>1171</v>
      </c>
      <c r="E9" s="103">
        <v>1084</v>
      </c>
      <c r="F9" s="103">
        <v>1003</v>
      </c>
      <c r="G9" s="103">
        <v>1122</v>
      </c>
      <c r="H9" s="103">
        <v>1053</v>
      </c>
      <c r="I9" s="103">
        <v>1031</v>
      </c>
      <c r="J9" s="204">
        <v>1127</v>
      </c>
      <c r="K9" s="203">
        <v>617</v>
      </c>
      <c r="L9" s="103">
        <v>546</v>
      </c>
      <c r="M9" s="103">
        <v>405</v>
      </c>
      <c r="N9" s="103">
        <v>519</v>
      </c>
      <c r="O9" s="103">
        <v>520</v>
      </c>
      <c r="P9" s="103">
        <v>420</v>
      </c>
      <c r="Q9" s="103">
        <v>381</v>
      </c>
      <c r="R9" s="204">
        <v>400</v>
      </c>
      <c r="S9" s="127"/>
      <c r="T9" s="194"/>
      <c r="W9" s="317">
        <f t="shared" si="1"/>
        <v>0.820097244732577</v>
      </c>
      <c r="X9" s="317">
        <f t="shared" si="0"/>
        <v>1.1446886446886446</v>
      </c>
      <c r="Y9" s="317">
        <f t="shared" si="0"/>
        <v>1.6765432098765432</v>
      </c>
      <c r="Z9" s="317">
        <f t="shared" si="0"/>
        <v>0.9325626204238922</v>
      </c>
      <c r="AA9" s="317">
        <f t="shared" si="0"/>
        <v>1.1576923076923078</v>
      </c>
      <c r="AB9" s="317">
        <f t="shared" si="0"/>
        <v>1.5071428571428571</v>
      </c>
      <c r="AC9" s="317">
        <f t="shared" si="0"/>
        <v>1.7060367454068242</v>
      </c>
      <c r="AD9" s="317">
        <f t="shared" si="0"/>
        <v>1.8175</v>
      </c>
    </row>
    <row r="10" spans="2:30" ht="12.75">
      <c r="B10" s="202">
        <v>42646</v>
      </c>
      <c r="C10" s="203">
        <v>1072</v>
      </c>
      <c r="D10" s="103">
        <v>1145</v>
      </c>
      <c r="E10" s="103">
        <v>1082</v>
      </c>
      <c r="F10" s="103">
        <v>1036</v>
      </c>
      <c r="G10" s="103">
        <v>1018</v>
      </c>
      <c r="H10" s="103">
        <v>1054</v>
      </c>
      <c r="I10" s="103">
        <v>1062</v>
      </c>
      <c r="J10" s="204">
        <v>1046</v>
      </c>
      <c r="K10" s="203">
        <v>625</v>
      </c>
      <c r="L10" s="103">
        <v>561</v>
      </c>
      <c r="M10" s="103">
        <v>406</v>
      </c>
      <c r="N10" s="103">
        <v>509</v>
      </c>
      <c r="O10" s="103">
        <v>563</v>
      </c>
      <c r="P10" s="103">
        <v>402</v>
      </c>
      <c r="Q10" s="103">
        <v>373</v>
      </c>
      <c r="R10" s="204">
        <v>425</v>
      </c>
      <c r="S10" s="127"/>
      <c r="T10" s="194"/>
      <c r="W10" s="317">
        <f t="shared" si="1"/>
        <v>0.7152</v>
      </c>
      <c r="X10" s="317">
        <f t="shared" si="0"/>
        <v>1.0409982174688057</v>
      </c>
      <c r="Y10" s="317">
        <f t="shared" si="0"/>
        <v>1.6650246305418719</v>
      </c>
      <c r="Z10" s="317">
        <f t="shared" si="0"/>
        <v>1.0353634577603144</v>
      </c>
      <c r="AA10" s="317">
        <f t="shared" si="0"/>
        <v>0.8081705150976909</v>
      </c>
      <c r="AB10" s="317">
        <f t="shared" si="0"/>
        <v>1.6218905472636815</v>
      </c>
      <c r="AC10" s="317">
        <f t="shared" si="0"/>
        <v>1.8471849865951742</v>
      </c>
      <c r="AD10" s="317">
        <f t="shared" si="0"/>
        <v>1.4611764705882353</v>
      </c>
    </row>
    <row r="11" spans="2:30" ht="12.75">
      <c r="B11" s="202">
        <v>42653</v>
      </c>
      <c r="C11" s="203">
        <v>1077</v>
      </c>
      <c r="D11" s="103">
        <v>1134</v>
      </c>
      <c r="E11" s="103">
        <v>1077</v>
      </c>
      <c r="F11" s="103">
        <v>1047</v>
      </c>
      <c r="G11" s="103">
        <v>1035</v>
      </c>
      <c r="H11" s="103">
        <v>1088</v>
      </c>
      <c r="I11" s="103">
        <v>1090</v>
      </c>
      <c r="J11" s="204">
        <v>1202</v>
      </c>
      <c r="K11" s="203">
        <v>575</v>
      </c>
      <c r="L11" s="103">
        <v>575</v>
      </c>
      <c r="M11" s="103">
        <v>425</v>
      </c>
      <c r="N11" s="103">
        <v>526</v>
      </c>
      <c r="O11" s="103">
        <v>535</v>
      </c>
      <c r="P11" s="103">
        <v>403</v>
      </c>
      <c r="Q11" s="103">
        <v>385</v>
      </c>
      <c r="R11" s="204">
        <v>400</v>
      </c>
      <c r="S11" s="127"/>
      <c r="T11" s="194"/>
      <c r="W11" s="317">
        <f t="shared" si="1"/>
        <v>0.8730434782608696</v>
      </c>
      <c r="X11" s="317">
        <f t="shared" si="0"/>
        <v>0.9721739130434782</v>
      </c>
      <c r="Y11" s="317">
        <f t="shared" si="0"/>
        <v>1.5341176470588236</v>
      </c>
      <c r="Z11" s="317">
        <f t="shared" si="0"/>
        <v>0.9904942965779467</v>
      </c>
      <c r="AA11" s="317">
        <f t="shared" si="0"/>
        <v>0.9345794392523364</v>
      </c>
      <c r="AB11" s="317">
        <f t="shared" si="0"/>
        <v>1.6997518610421836</v>
      </c>
      <c r="AC11" s="317">
        <f t="shared" si="0"/>
        <v>1.8311688311688312</v>
      </c>
      <c r="AD11" s="317">
        <f t="shared" si="0"/>
        <v>2.005</v>
      </c>
    </row>
    <row r="12" spans="2:30" ht="12.75">
      <c r="B12" s="202">
        <v>42660</v>
      </c>
      <c r="C12" s="203">
        <v>1095</v>
      </c>
      <c r="D12" s="103">
        <v>1071</v>
      </c>
      <c r="E12" s="103">
        <v>1055</v>
      </c>
      <c r="F12" s="103">
        <v>977</v>
      </c>
      <c r="G12" s="103">
        <v>1042</v>
      </c>
      <c r="H12" s="103">
        <v>1043</v>
      </c>
      <c r="I12" s="103">
        <v>919</v>
      </c>
      <c r="J12" s="204">
        <v>1119</v>
      </c>
      <c r="K12" s="203">
        <v>560</v>
      </c>
      <c r="L12" s="103">
        <v>546</v>
      </c>
      <c r="M12" s="103">
        <v>513</v>
      </c>
      <c r="N12" s="103">
        <v>536</v>
      </c>
      <c r="O12" s="103">
        <v>513</v>
      </c>
      <c r="P12" s="103">
        <v>407</v>
      </c>
      <c r="Q12" s="103">
        <v>376</v>
      </c>
      <c r="R12" s="204">
        <v>388</v>
      </c>
      <c r="S12" s="127"/>
      <c r="T12" s="194"/>
      <c r="W12" s="317">
        <f t="shared" si="1"/>
        <v>0.9553571428571429</v>
      </c>
      <c r="X12" s="317">
        <f t="shared" si="0"/>
        <v>0.9615384615384616</v>
      </c>
      <c r="Y12" s="317">
        <f t="shared" si="0"/>
        <v>1.0565302144249513</v>
      </c>
      <c r="Z12" s="317">
        <f t="shared" si="0"/>
        <v>0.8227611940298507</v>
      </c>
      <c r="AA12" s="317">
        <f t="shared" si="0"/>
        <v>1.0311890838206628</v>
      </c>
      <c r="AB12" s="317">
        <f t="shared" si="0"/>
        <v>1.5626535626535627</v>
      </c>
      <c r="AC12" s="317">
        <f t="shared" si="0"/>
        <v>1.4441489361702127</v>
      </c>
      <c r="AD12" s="317">
        <f t="shared" si="0"/>
        <v>1.884020618556701</v>
      </c>
    </row>
    <row r="13" spans="2:30" ht="12.75">
      <c r="B13" s="202">
        <v>42667</v>
      </c>
      <c r="C13" s="203">
        <v>1143</v>
      </c>
      <c r="D13" s="103">
        <v>1105</v>
      </c>
      <c r="E13" s="103">
        <v>1059</v>
      </c>
      <c r="F13" s="103">
        <v>1107</v>
      </c>
      <c r="G13" s="103">
        <v>1087</v>
      </c>
      <c r="H13" s="103">
        <v>1068</v>
      </c>
      <c r="I13" s="103">
        <v>1069</v>
      </c>
      <c r="J13" s="204">
        <v>1048</v>
      </c>
      <c r="K13" s="203">
        <v>575</v>
      </c>
      <c r="L13" s="103">
        <v>538</v>
      </c>
      <c r="M13" s="103">
        <v>469</v>
      </c>
      <c r="N13" s="103">
        <v>526</v>
      </c>
      <c r="O13" s="103">
        <v>536</v>
      </c>
      <c r="P13" s="103">
        <v>404</v>
      </c>
      <c r="Q13" s="103">
        <v>400</v>
      </c>
      <c r="R13" s="204">
        <v>363</v>
      </c>
      <c r="S13" s="127"/>
      <c r="T13" s="194"/>
      <c r="W13" s="317">
        <f t="shared" si="1"/>
        <v>0.9878260869565217</v>
      </c>
      <c r="X13" s="317">
        <f t="shared" si="0"/>
        <v>1.053903345724907</v>
      </c>
      <c r="Y13" s="317">
        <f t="shared" si="0"/>
        <v>1.2579957356076759</v>
      </c>
      <c r="Z13" s="317">
        <f t="shared" si="0"/>
        <v>1.1045627376425855</v>
      </c>
      <c r="AA13" s="317">
        <f t="shared" si="0"/>
        <v>1.0279850746268657</v>
      </c>
      <c r="AB13" s="317">
        <f t="shared" si="0"/>
        <v>1.6435643564356435</v>
      </c>
      <c r="AC13" s="317">
        <f t="shared" si="0"/>
        <v>1.6725</v>
      </c>
      <c r="AD13" s="317">
        <f t="shared" si="0"/>
        <v>1.8870523415977962</v>
      </c>
    </row>
    <row r="14" spans="2:30" ht="12.75">
      <c r="B14" s="202">
        <v>42674</v>
      </c>
      <c r="C14" s="203"/>
      <c r="D14" s="103">
        <v>1159</v>
      </c>
      <c r="E14" s="103">
        <v>1123</v>
      </c>
      <c r="F14" s="103">
        <v>1112</v>
      </c>
      <c r="G14" s="103">
        <v>1191</v>
      </c>
      <c r="H14" s="103">
        <v>1197</v>
      </c>
      <c r="I14" s="103">
        <v>1181</v>
      </c>
      <c r="J14" s="204">
        <v>1212</v>
      </c>
      <c r="K14" s="203">
        <v>625</v>
      </c>
      <c r="L14" s="103">
        <v>475</v>
      </c>
      <c r="M14" s="103">
        <v>375</v>
      </c>
      <c r="N14" s="103">
        <v>524</v>
      </c>
      <c r="O14" s="103">
        <v>546</v>
      </c>
      <c r="P14" s="103">
        <v>423</v>
      </c>
      <c r="Q14" s="103">
        <v>342</v>
      </c>
      <c r="R14" s="204">
        <v>400</v>
      </c>
      <c r="S14" s="127"/>
      <c r="T14" s="194"/>
      <c r="W14" s="317">
        <f t="shared" si="1"/>
        <v>-1</v>
      </c>
      <c r="X14" s="317">
        <f t="shared" si="0"/>
        <v>1.44</v>
      </c>
      <c r="Y14" s="317">
        <f t="shared" si="0"/>
        <v>1.9946666666666666</v>
      </c>
      <c r="Z14" s="317">
        <f t="shared" si="0"/>
        <v>1.1221374045801527</v>
      </c>
      <c r="AA14" s="317">
        <f t="shared" si="0"/>
        <v>1.1813186813186813</v>
      </c>
      <c r="AB14" s="317">
        <f t="shared" si="0"/>
        <v>1.8297872340425532</v>
      </c>
      <c r="AC14" s="317">
        <f t="shared" si="0"/>
        <v>2.453216374269006</v>
      </c>
      <c r="AD14" s="317">
        <f t="shared" si="0"/>
        <v>2.03</v>
      </c>
    </row>
    <row r="15" spans="2:30" ht="12.75">
      <c r="B15" s="202">
        <v>42681</v>
      </c>
      <c r="C15" s="203">
        <v>1245</v>
      </c>
      <c r="D15" s="103">
        <v>1319</v>
      </c>
      <c r="E15" s="103">
        <v>1150</v>
      </c>
      <c r="F15" s="103">
        <v>1157</v>
      </c>
      <c r="G15" s="103">
        <v>1174</v>
      </c>
      <c r="H15" s="103">
        <v>1210</v>
      </c>
      <c r="I15" s="103">
        <v>1206</v>
      </c>
      <c r="J15" s="204">
        <v>1174</v>
      </c>
      <c r="K15" s="203">
        <v>665</v>
      </c>
      <c r="L15" s="103">
        <v>596</v>
      </c>
      <c r="M15" s="103">
        <v>419</v>
      </c>
      <c r="N15" s="103">
        <v>509</v>
      </c>
      <c r="O15" s="103">
        <v>541</v>
      </c>
      <c r="P15" s="103">
        <v>406</v>
      </c>
      <c r="Q15" s="103">
        <v>395</v>
      </c>
      <c r="R15" s="204">
        <v>500</v>
      </c>
      <c r="S15" s="127"/>
      <c r="T15" s="194"/>
      <c r="W15" s="317">
        <f t="shared" si="1"/>
        <v>0.8721804511278195</v>
      </c>
      <c r="X15" s="317">
        <f t="shared" si="0"/>
        <v>1.2130872483221478</v>
      </c>
      <c r="Y15" s="317">
        <f t="shared" si="0"/>
        <v>1.7446300715990453</v>
      </c>
      <c r="Z15" s="317">
        <f t="shared" si="0"/>
        <v>1.2730844793713163</v>
      </c>
      <c r="AA15" s="317">
        <f t="shared" si="0"/>
        <v>1.1700554528650646</v>
      </c>
      <c r="AB15" s="317">
        <f t="shared" si="0"/>
        <v>1.980295566502463</v>
      </c>
      <c r="AC15" s="317">
        <f t="shared" si="0"/>
        <v>2.053164556962025</v>
      </c>
      <c r="AD15" s="317">
        <f t="shared" si="0"/>
        <v>1.348</v>
      </c>
    </row>
    <row r="16" spans="2:30" ht="12.75">
      <c r="B16" s="202">
        <v>42688</v>
      </c>
      <c r="C16" s="203">
        <v>1190</v>
      </c>
      <c r="D16" s="103">
        <v>1239</v>
      </c>
      <c r="E16" s="103">
        <v>1137</v>
      </c>
      <c r="F16" s="103">
        <v>1138</v>
      </c>
      <c r="G16" s="103">
        <v>1184</v>
      </c>
      <c r="H16" s="103">
        <v>1289</v>
      </c>
      <c r="I16" s="103">
        <v>1170</v>
      </c>
      <c r="J16" s="204">
        <v>1176</v>
      </c>
      <c r="K16" s="203">
        <v>550</v>
      </c>
      <c r="L16" s="103">
        <v>562</v>
      </c>
      <c r="M16" s="103">
        <v>394</v>
      </c>
      <c r="N16" s="103">
        <v>474</v>
      </c>
      <c r="O16" s="103">
        <v>522</v>
      </c>
      <c r="P16" s="103">
        <v>370</v>
      </c>
      <c r="Q16" s="103">
        <v>538</v>
      </c>
      <c r="R16" s="204">
        <v>475</v>
      </c>
      <c r="S16" s="127"/>
      <c r="T16" s="194"/>
      <c r="W16" s="317">
        <f t="shared" si="1"/>
        <v>1.1636363636363636</v>
      </c>
      <c r="X16" s="317">
        <f t="shared" si="0"/>
        <v>1.204626334519573</v>
      </c>
      <c r="Y16" s="317">
        <f t="shared" si="0"/>
        <v>1.885786802030457</v>
      </c>
      <c r="Z16" s="317">
        <f t="shared" si="0"/>
        <v>1.40084388185654</v>
      </c>
      <c r="AA16" s="317">
        <f t="shared" si="0"/>
        <v>1.2681992337164751</v>
      </c>
      <c r="AB16" s="317">
        <f t="shared" si="0"/>
        <v>2.483783783783784</v>
      </c>
      <c r="AC16" s="317">
        <f t="shared" si="0"/>
        <v>1.174721189591078</v>
      </c>
      <c r="AD16" s="317">
        <f t="shared" si="0"/>
        <v>1.4757894736842105</v>
      </c>
    </row>
    <row r="17" spans="2:30" ht="12.75">
      <c r="B17" s="202">
        <v>42695</v>
      </c>
      <c r="C17" s="203">
        <v>1115</v>
      </c>
      <c r="D17" s="103">
        <v>1224</v>
      </c>
      <c r="E17" s="103">
        <v>1135</v>
      </c>
      <c r="F17" s="103">
        <v>1125</v>
      </c>
      <c r="G17" s="103">
        <v>1125</v>
      </c>
      <c r="H17" s="103">
        <v>1051</v>
      </c>
      <c r="I17" s="103">
        <v>1049</v>
      </c>
      <c r="J17" s="204">
        <v>1025</v>
      </c>
      <c r="K17" s="203">
        <v>550</v>
      </c>
      <c r="L17" s="103">
        <v>520</v>
      </c>
      <c r="M17" s="103">
        <v>354</v>
      </c>
      <c r="N17" s="103">
        <v>455</v>
      </c>
      <c r="O17" s="103">
        <v>508</v>
      </c>
      <c r="P17" s="103">
        <v>342</v>
      </c>
      <c r="Q17" s="103">
        <v>406</v>
      </c>
      <c r="R17" s="204">
        <v>488</v>
      </c>
      <c r="S17" s="127"/>
      <c r="T17" s="194"/>
      <c r="W17" s="317">
        <f t="shared" si="1"/>
        <v>1.0272727272727273</v>
      </c>
      <c r="X17" s="317">
        <f t="shared" si="0"/>
        <v>1.353846153846154</v>
      </c>
      <c r="Y17" s="317">
        <f t="shared" si="0"/>
        <v>2.2062146892655368</v>
      </c>
      <c r="Z17" s="317">
        <f t="shared" si="0"/>
        <v>1.4725274725274726</v>
      </c>
      <c r="AA17" s="317">
        <f t="shared" si="0"/>
        <v>1.2145669291338583</v>
      </c>
      <c r="AB17" s="317">
        <f t="shared" si="0"/>
        <v>2.073099415204678</v>
      </c>
      <c r="AC17" s="317">
        <f t="shared" si="0"/>
        <v>1.583743842364532</v>
      </c>
      <c r="AD17" s="317">
        <f t="shared" si="0"/>
        <v>1.1004098360655739</v>
      </c>
    </row>
    <row r="18" spans="2:30" ht="12.75">
      <c r="B18" s="202">
        <v>42702</v>
      </c>
      <c r="C18" s="203">
        <v>1190</v>
      </c>
      <c r="D18" s="103">
        <v>1144</v>
      </c>
      <c r="E18" s="103">
        <v>1099</v>
      </c>
      <c r="F18" s="103">
        <v>1113</v>
      </c>
      <c r="G18" s="103">
        <v>1091</v>
      </c>
      <c r="H18" s="103">
        <v>1099</v>
      </c>
      <c r="I18" s="103">
        <v>1077</v>
      </c>
      <c r="J18" s="204">
        <v>1083</v>
      </c>
      <c r="K18" s="203">
        <v>550</v>
      </c>
      <c r="L18" s="103">
        <v>503</v>
      </c>
      <c r="M18" s="103">
        <v>394</v>
      </c>
      <c r="N18" s="103">
        <v>423</v>
      </c>
      <c r="O18" s="103">
        <v>483</v>
      </c>
      <c r="P18" s="103">
        <v>330</v>
      </c>
      <c r="Q18" s="103">
        <v>355</v>
      </c>
      <c r="R18" s="204">
        <v>433</v>
      </c>
      <c r="S18" s="127"/>
      <c r="T18" s="194"/>
      <c r="W18" s="317">
        <f t="shared" si="1"/>
        <v>1.1636363636363636</v>
      </c>
      <c r="X18" s="317">
        <f t="shared" si="0"/>
        <v>1.2743538767395626</v>
      </c>
      <c r="Y18" s="317">
        <f t="shared" si="0"/>
        <v>1.7893401015228427</v>
      </c>
      <c r="Z18" s="317">
        <f t="shared" si="0"/>
        <v>1.6312056737588652</v>
      </c>
      <c r="AA18" s="317">
        <f t="shared" si="0"/>
        <v>1.25879917184265</v>
      </c>
      <c r="AB18" s="317">
        <f t="shared" si="0"/>
        <v>2.33030303030303</v>
      </c>
      <c r="AC18" s="317">
        <f t="shared" si="0"/>
        <v>2.0338028169014084</v>
      </c>
      <c r="AD18" s="317">
        <f t="shared" si="0"/>
        <v>1.5011547344110854</v>
      </c>
    </row>
    <row r="19" spans="2:30" ht="12.75">
      <c r="B19" s="202">
        <v>42709</v>
      </c>
      <c r="C19" s="203">
        <v>1090</v>
      </c>
      <c r="D19" s="103">
        <v>1108</v>
      </c>
      <c r="E19" s="103">
        <v>1108</v>
      </c>
      <c r="F19" s="103">
        <v>1096</v>
      </c>
      <c r="G19" s="103">
        <v>1115</v>
      </c>
      <c r="H19" s="103">
        <v>1174</v>
      </c>
      <c r="I19" s="103">
        <v>992</v>
      </c>
      <c r="J19" s="204">
        <v>1053</v>
      </c>
      <c r="K19" s="203">
        <v>525</v>
      </c>
      <c r="L19" s="103">
        <v>463</v>
      </c>
      <c r="M19" s="103">
        <v>300</v>
      </c>
      <c r="N19" s="103">
        <v>416</v>
      </c>
      <c r="O19" s="103">
        <v>471</v>
      </c>
      <c r="P19" s="103">
        <v>275</v>
      </c>
      <c r="Q19" s="103">
        <v>442</v>
      </c>
      <c r="R19" s="204">
        <v>450</v>
      </c>
      <c r="S19" s="127"/>
      <c r="T19" s="194"/>
      <c r="W19" s="317">
        <f t="shared" si="1"/>
        <v>1.0761904761904761</v>
      </c>
      <c r="X19" s="317">
        <f t="shared" si="0"/>
        <v>1.3930885529157668</v>
      </c>
      <c r="Y19" s="317">
        <f t="shared" si="0"/>
        <v>2.6933333333333334</v>
      </c>
      <c r="Z19" s="317">
        <f t="shared" si="0"/>
        <v>1.6346153846153846</v>
      </c>
      <c r="AA19" s="317">
        <f t="shared" si="0"/>
        <v>1.3673036093418258</v>
      </c>
      <c r="AB19" s="317">
        <f t="shared" si="0"/>
        <v>3.269090909090909</v>
      </c>
      <c r="AC19" s="317">
        <f t="shared" si="0"/>
        <v>1.244343891402715</v>
      </c>
      <c r="AD19" s="317">
        <f t="shared" si="0"/>
        <v>1.34</v>
      </c>
    </row>
    <row r="20" spans="2:30" ht="12.75">
      <c r="B20" s="202">
        <v>42716</v>
      </c>
      <c r="C20" s="203">
        <v>1123</v>
      </c>
      <c r="D20" s="103">
        <v>1157</v>
      </c>
      <c r="E20" s="103">
        <v>1092</v>
      </c>
      <c r="F20" s="103">
        <v>1098</v>
      </c>
      <c r="G20" s="103">
        <v>1181</v>
      </c>
      <c r="H20" s="103">
        <v>1132</v>
      </c>
      <c r="I20" s="103">
        <v>1045</v>
      </c>
      <c r="J20" s="204">
        <v>947</v>
      </c>
      <c r="K20" s="203">
        <v>520</v>
      </c>
      <c r="L20" s="103">
        <v>463</v>
      </c>
      <c r="M20" s="103">
        <v>375</v>
      </c>
      <c r="N20" s="103">
        <v>416</v>
      </c>
      <c r="O20" s="103">
        <v>489</v>
      </c>
      <c r="P20" s="103">
        <v>331</v>
      </c>
      <c r="Q20" s="103">
        <v>391</v>
      </c>
      <c r="R20" s="204">
        <v>438</v>
      </c>
      <c r="S20" s="127"/>
      <c r="T20" s="194"/>
      <c r="W20" s="317">
        <f t="shared" si="1"/>
        <v>1.1596153846153847</v>
      </c>
      <c r="X20" s="317">
        <f t="shared" si="0"/>
        <v>1.4989200863930885</v>
      </c>
      <c r="Y20" s="317">
        <f t="shared" si="0"/>
        <v>1.912</v>
      </c>
      <c r="Z20" s="317">
        <f t="shared" si="0"/>
        <v>1.6394230769230769</v>
      </c>
      <c r="AA20" s="317">
        <f t="shared" si="0"/>
        <v>1.4151329243353783</v>
      </c>
      <c r="AB20" s="317">
        <f t="shared" si="0"/>
        <v>2.419939577039275</v>
      </c>
      <c r="AC20" s="317">
        <f t="shared" si="0"/>
        <v>1.6726342710997442</v>
      </c>
      <c r="AD20" s="317">
        <f t="shared" si="0"/>
        <v>1.1621004566210045</v>
      </c>
    </row>
    <row r="21" spans="2:30" ht="12.75">
      <c r="B21" s="202">
        <v>42723</v>
      </c>
      <c r="C21" s="203">
        <v>1106</v>
      </c>
      <c r="D21" s="103">
        <v>1117</v>
      </c>
      <c r="E21" s="103">
        <v>1070</v>
      </c>
      <c r="F21" s="103">
        <v>1040</v>
      </c>
      <c r="G21" s="103">
        <v>1147</v>
      </c>
      <c r="H21" s="103">
        <v>1065</v>
      </c>
      <c r="I21" s="103">
        <v>1060</v>
      </c>
      <c r="J21" s="204">
        <v>1083</v>
      </c>
      <c r="K21" s="203">
        <v>518</v>
      </c>
      <c r="L21" s="103">
        <v>453</v>
      </c>
      <c r="M21" s="103">
        <v>375</v>
      </c>
      <c r="N21" s="103">
        <v>352</v>
      </c>
      <c r="O21" s="103">
        <v>450</v>
      </c>
      <c r="P21" s="103">
        <v>288</v>
      </c>
      <c r="Q21" s="103">
        <v>413</v>
      </c>
      <c r="R21" s="204">
        <v>600</v>
      </c>
      <c r="S21" s="127"/>
      <c r="T21" s="194"/>
      <c r="W21" s="317">
        <f t="shared" si="1"/>
        <v>1.135135135135135</v>
      </c>
      <c r="X21" s="317">
        <f t="shared" si="0"/>
        <v>1.465783664459161</v>
      </c>
      <c r="Y21" s="317">
        <f t="shared" si="0"/>
        <v>1.8533333333333333</v>
      </c>
      <c r="Z21" s="317">
        <f t="shared" si="0"/>
        <v>1.9545454545454546</v>
      </c>
      <c r="AA21" s="317">
        <f t="shared" si="0"/>
        <v>1.548888888888889</v>
      </c>
      <c r="AB21" s="317">
        <f t="shared" si="0"/>
        <v>2.6979166666666665</v>
      </c>
      <c r="AC21" s="317">
        <f t="shared" si="0"/>
        <v>1.5665859564164648</v>
      </c>
      <c r="AD21" s="317">
        <f t="shared" si="0"/>
        <v>0.805</v>
      </c>
    </row>
    <row r="22" spans="2:30" ht="12.75">
      <c r="B22" s="202">
        <v>42730</v>
      </c>
      <c r="C22" s="203">
        <v>1095</v>
      </c>
      <c r="D22" s="103">
        <v>1085</v>
      </c>
      <c r="E22" s="103">
        <v>1103</v>
      </c>
      <c r="F22" s="103">
        <v>1096</v>
      </c>
      <c r="G22" s="103">
        <v>1102</v>
      </c>
      <c r="H22" s="103">
        <v>1102</v>
      </c>
      <c r="I22" s="103">
        <v>1082</v>
      </c>
      <c r="J22" s="204">
        <v>936</v>
      </c>
      <c r="K22" s="203">
        <v>483</v>
      </c>
      <c r="L22" s="103">
        <v>496</v>
      </c>
      <c r="M22" s="103">
        <v>275</v>
      </c>
      <c r="N22" s="103">
        <v>359</v>
      </c>
      <c r="O22" s="103">
        <v>413</v>
      </c>
      <c r="P22" s="103">
        <v>252</v>
      </c>
      <c r="Q22" s="103">
        <v>381</v>
      </c>
      <c r="R22" s="204">
        <v>463</v>
      </c>
      <c r="S22" s="127"/>
      <c r="T22" s="194"/>
      <c r="W22" s="317">
        <f t="shared" si="1"/>
        <v>1.2670807453416149</v>
      </c>
      <c r="X22" s="317">
        <f t="shared" si="0"/>
        <v>1.1875</v>
      </c>
      <c r="Y22" s="317">
        <f t="shared" si="0"/>
        <v>3.0109090909090908</v>
      </c>
      <c r="Z22" s="317">
        <f t="shared" si="0"/>
        <v>2.052924791086351</v>
      </c>
      <c r="AA22" s="317">
        <f t="shared" si="0"/>
        <v>1.6682808716707023</v>
      </c>
      <c r="AB22" s="317">
        <f t="shared" si="0"/>
        <v>3.373015873015873</v>
      </c>
      <c r="AC22" s="317">
        <f t="shared" si="0"/>
        <v>1.8398950131233596</v>
      </c>
      <c r="AD22" s="317">
        <f t="shared" si="0"/>
        <v>1.0215982721382288</v>
      </c>
    </row>
    <row r="23" spans="2:30" ht="12.75">
      <c r="B23" s="202">
        <v>42737</v>
      </c>
      <c r="C23" s="203">
        <v>1093</v>
      </c>
      <c r="D23" s="103">
        <v>1088</v>
      </c>
      <c r="E23" s="103">
        <v>1082</v>
      </c>
      <c r="F23" s="103">
        <v>1081</v>
      </c>
      <c r="G23" s="103">
        <v>1094</v>
      </c>
      <c r="H23" s="103">
        <v>1083</v>
      </c>
      <c r="I23" s="103">
        <v>1048</v>
      </c>
      <c r="J23" s="204">
        <v>1097</v>
      </c>
      <c r="K23" s="203">
        <v>500</v>
      </c>
      <c r="L23" s="103">
        <v>461</v>
      </c>
      <c r="M23" s="103">
        <v>321</v>
      </c>
      <c r="N23" s="103">
        <v>384</v>
      </c>
      <c r="O23" s="103">
        <v>377</v>
      </c>
      <c r="P23" s="103">
        <v>282</v>
      </c>
      <c r="Q23" s="103"/>
      <c r="R23" s="204">
        <v>350</v>
      </c>
      <c r="S23" s="127"/>
      <c r="T23" s="194"/>
      <c r="W23" s="317">
        <f t="shared" si="1"/>
        <v>1.186</v>
      </c>
      <c r="X23" s="317">
        <f aca="true" t="shared" si="2" ref="X23:AD27">+IF(L23="","",((D23-L23)/L23))</f>
        <v>1.3600867678958786</v>
      </c>
      <c r="Y23" s="317">
        <f t="shared" si="2"/>
        <v>2.370716510903427</v>
      </c>
      <c r="Z23" s="317">
        <f t="shared" si="2"/>
        <v>1.8151041666666667</v>
      </c>
      <c r="AA23" s="317">
        <f t="shared" si="2"/>
        <v>1.9018567639257293</v>
      </c>
      <c r="AB23" s="317">
        <f t="shared" si="2"/>
        <v>2.8404255319148937</v>
      </c>
      <c r="AC23" s="317">
        <f t="shared" si="2"/>
      </c>
      <c r="AD23" s="317">
        <f t="shared" si="2"/>
        <v>2.1342857142857143</v>
      </c>
    </row>
    <row r="24" spans="2:30" ht="12.75">
      <c r="B24" s="202">
        <v>42744</v>
      </c>
      <c r="C24" s="203">
        <v>1014</v>
      </c>
      <c r="D24" s="103">
        <v>1092</v>
      </c>
      <c r="E24" s="103">
        <v>1104</v>
      </c>
      <c r="F24" s="103">
        <v>1067</v>
      </c>
      <c r="G24" s="103">
        <v>1092</v>
      </c>
      <c r="H24" s="103">
        <v>1071</v>
      </c>
      <c r="I24" s="103">
        <v>1079</v>
      </c>
      <c r="J24" s="204">
        <v>970</v>
      </c>
      <c r="K24" s="203">
        <v>458</v>
      </c>
      <c r="L24" s="103">
        <v>464</v>
      </c>
      <c r="M24" s="103">
        <v>322</v>
      </c>
      <c r="N24" s="103">
        <v>396</v>
      </c>
      <c r="O24" s="103">
        <v>358</v>
      </c>
      <c r="P24" s="103">
        <v>301</v>
      </c>
      <c r="Q24" s="103">
        <v>275</v>
      </c>
      <c r="R24" s="204">
        <v>425</v>
      </c>
      <c r="S24" s="127"/>
      <c r="T24" s="194"/>
      <c r="W24" s="317">
        <f t="shared" si="1"/>
        <v>1.2139737991266375</v>
      </c>
      <c r="X24" s="317">
        <f t="shared" si="2"/>
        <v>1.353448275862069</v>
      </c>
      <c r="Y24" s="317">
        <f t="shared" si="2"/>
        <v>2.4285714285714284</v>
      </c>
      <c r="Z24" s="317">
        <f t="shared" si="2"/>
        <v>1.6944444444444444</v>
      </c>
      <c r="AA24" s="317">
        <f t="shared" si="2"/>
        <v>2.0502793296089385</v>
      </c>
      <c r="AB24" s="317">
        <f t="shared" si="2"/>
        <v>2.558139534883721</v>
      </c>
      <c r="AC24" s="317">
        <f t="shared" si="2"/>
        <v>2.923636363636364</v>
      </c>
      <c r="AD24" s="317">
        <f t="shared" si="2"/>
        <v>1.2823529411764707</v>
      </c>
    </row>
    <row r="25" spans="2:30" ht="12.75">
      <c r="B25" s="202">
        <v>42751</v>
      </c>
      <c r="C25" s="203">
        <v>1094</v>
      </c>
      <c r="D25" s="103">
        <v>1089</v>
      </c>
      <c r="E25" s="103">
        <v>1098</v>
      </c>
      <c r="F25" s="103">
        <v>1081</v>
      </c>
      <c r="G25" s="103">
        <v>1069</v>
      </c>
      <c r="H25" s="103">
        <v>1031</v>
      </c>
      <c r="I25" s="103">
        <v>1045</v>
      </c>
      <c r="J25" s="204">
        <v>1053</v>
      </c>
      <c r="K25" s="203">
        <v>462</v>
      </c>
      <c r="L25" s="103">
        <v>454</v>
      </c>
      <c r="M25" s="103">
        <v>340</v>
      </c>
      <c r="N25" s="103">
        <v>428</v>
      </c>
      <c r="O25" s="103">
        <v>389</v>
      </c>
      <c r="P25" s="103">
        <v>304</v>
      </c>
      <c r="Q25" s="103">
        <v>279</v>
      </c>
      <c r="R25" s="204">
        <v>475</v>
      </c>
      <c r="S25" s="127"/>
      <c r="T25" s="194"/>
      <c r="W25" s="317">
        <f t="shared" si="1"/>
        <v>1.367965367965368</v>
      </c>
      <c r="X25" s="317">
        <f t="shared" si="2"/>
        <v>1.3986784140969164</v>
      </c>
      <c r="Y25" s="317">
        <f t="shared" si="2"/>
        <v>2.2294117647058824</v>
      </c>
      <c r="Z25" s="317">
        <f t="shared" si="2"/>
        <v>1.5257009345794392</v>
      </c>
      <c r="AA25" s="317">
        <f t="shared" si="2"/>
        <v>1.7480719794344473</v>
      </c>
      <c r="AB25" s="317">
        <f t="shared" si="2"/>
        <v>2.3914473684210527</v>
      </c>
      <c r="AC25" s="317">
        <f t="shared" si="2"/>
        <v>2.7455197132616487</v>
      </c>
      <c r="AD25" s="317">
        <f t="shared" si="2"/>
        <v>1.216842105263158</v>
      </c>
    </row>
    <row r="26" spans="2:30" ht="12.75">
      <c r="B26" s="202">
        <v>42758</v>
      </c>
      <c r="C26" s="203">
        <v>1108</v>
      </c>
      <c r="D26" s="103">
        <v>1103</v>
      </c>
      <c r="E26" s="103">
        <v>1098</v>
      </c>
      <c r="F26" s="103">
        <v>1133</v>
      </c>
      <c r="G26" s="103">
        <v>1077</v>
      </c>
      <c r="H26" s="103">
        <v>1102</v>
      </c>
      <c r="I26" s="103">
        <v>1092</v>
      </c>
      <c r="J26" s="204">
        <v>998</v>
      </c>
      <c r="K26" s="203">
        <v>425</v>
      </c>
      <c r="L26" s="103">
        <v>451</v>
      </c>
      <c r="M26" s="103">
        <v>348</v>
      </c>
      <c r="N26" s="103">
        <v>367</v>
      </c>
      <c r="O26" s="103">
        <v>356</v>
      </c>
      <c r="P26" s="103">
        <v>308</v>
      </c>
      <c r="Q26" s="103">
        <v>261</v>
      </c>
      <c r="R26" s="204">
        <v>375</v>
      </c>
      <c r="S26" s="127"/>
      <c r="T26" s="194"/>
      <c r="U26" s="193"/>
      <c r="V26" s="275"/>
      <c r="W26" s="317">
        <f t="shared" si="1"/>
        <v>1.6070588235294119</v>
      </c>
      <c r="X26" s="317">
        <f t="shared" si="2"/>
        <v>1.4456762749445675</v>
      </c>
      <c r="Y26" s="317">
        <f t="shared" si="2"/>
        <v>2.1551724137931036</v>
      </c>
      <c r="Z26" s="317">
        <f t="shared" si="2"/>
        <v>2.087193460490463</v>
      </c>
      <c r="AA26" s="317">
        <f t="shared" si="2"/>
        <v>2.0252808988764044</v>
      </c>
      <c r="AB26" s="317">
        <f t="shared" si="2"/>
        <v>2.5779220779220777</v>
      </c>
      <c r="AC26" s="317">
        <f t="shared" si="2"/>
        <v>3.1839080459770117</v>
      </c>
      <c r="AD26" s="317">
        <f t="shared" si="2"/>
        <v>1.6613333333333333</v>
      </c>
    </row>
    <row r="27" spans="2:30" ht="12.75">
      <c r="B27" s="205">
        <v>42765</v>
      </c>
      <c r="C27" s="206">
        <v>1096</v>
      </c>
      <c r="D27" s="33">
        <v>1097</v>
      </c>
      <c r="E27" s="33">
        <v>1109</v>
      </c>
      <c r="F27" s="33">
        <v>1090</v>
      </c>
      <c r="G27" s="33">
        <v>1070</v>
      </c>
      <c r="H27" s="33">
        <v>1095</v>
      </c>
      <c r="I27" s="33">
        <v>1093</v>
      </c>
      <c r="J27" s="207">
        <v>980</v>
      </c>
      <c r="K27" s="206">
        <v>477</v>
      </c>
      <c r="L27" s="33">
        <v>441</v>
      </c>
      <c r="M27" s="33">
        <v>344</v>
      </c>
      <c r="N27" s="33">
        <v>365</v>
      </c>
      <c r="O27" s="33">
        <v>275</v>
      </c>
      <c r="P27" s="33">
        <v>254</v>
      </c>
      <c r="Q27" s="33">
        <v>304</v>
      </c>
      <c r="R27" s="207">
        <v>350</v>
      </c>
      <c r="S27" s="127"/>
      <c r="T27" s="208"/>
      <c r="U27" s="193"/>
      <c r="V27" s="275"/>
      <c r="W27" s="317">
        <f t="shared" si="1"/>
        <v>1.2976939203354299</v>
      </c>
      <c r="X27" s="317">
        <f t="shared" si="2"/>
        <v>1.4875283446712018</v>
      </c>
      <c r="Y27" s="317">
        <f t="shared" si="2"/>
        <v>2.2238372093023258</v>
      </c>
      <c r="Z27" s="317">
        <f t="shared" si="2"/>
        <v>1.9863013698630136</v>
      </c>
      <c r="AA27" s="317">
        <f t="shared" si="2"/>
        <v>2.890909090909091</v>
      </c>
      <c r="AB27" s="317">
        <f t="shared" si="2"/>
        <v>3.311023622047244</v>
      </c>
      <c r="AC27" s="317">
        <f t="shared" si="2"/>
        <v>2.5953947368421053</v>
      </c>
      <c r="AD27" s="317">
        <f t="shared" si="2"/>
        <v>1.8</v>
      </c>
    </row>
    <row r="28" spans="2:21" ht="12.75">
      <c r="B28" s="35" t="s">
        <v>201</v>
      </c>
      <c r="P28" s="44"/>
      <c r="Q28" s="44"/>
      <c r="T28" s="208"/>
      <c r="U28" s="193"/>
    </row>
    <row r="29" spans="20:30" ht="12.75">
      <c r="T29" s="194"/>
      <c r="V29" s="324" t="s">
        <v>228</v>
      </c>
      <c r="W29" s="320">
        <f aca="true" t="shared" si="3" ref="W29:AD29">+_xlfn.STDEV.S(W7:W27)</f>
        <v>0.5134605737040051</v>
      </c>
      <c r="X29" s="320">
        <f t="shared" si="3"/>
        <v>0.21039458728587518</v>
      </c>
      <c r="Y29" s="320">
        <f t="shared" si="3"/>
        <v>0.49816176742210894</v>
      </c>
      <c r="Z29" s="320">
        <f t="shared" si="3"/>
        <v>0.39644853198354374</v>
      </c>
      <c r="AA29" s="320">
        <f t="shared" si="3"/>
        <v>0.498096453291346</v>
      </c>
      <c r="AB29" s="320">
        <f t="shared" si="3"/>
        <v>0.6353233268167724</v>
      </c>
      <c r="AC29" s="320">
        <f t="shared" si="3"/>
        <v>0.5663444818642025</v>
      </c>
      <c r="AD29" s="320">
        <f t="shared" si="3"/>
        <v>0.362484340568858</v>
      </c>
    </row>
    <row r="30" spans="20:30" ht="12.75">
      <c r="T30" s="194"/>
      <c r="V30" s="325" t="s">
        <v>188</v>
      </c>
      <c r="W30" s="320">
        <f aca="true" t="shared" si="4" ref="W30:AD30">+AVERAGE(W7:W27)</f>
        <v>0.9575720274807497</v>
      </c>
      <c r="X30" s="320">
        <f t="shared" si="4"/>
        <v>1.2364976151739868</v>
      </c>
      <c r="Y30" s="320">
        <f t="shared" si="4"/>
        <v>1.9316157919827224</v>
      </c>
      <c r="Z30" s="320">
        <f t="shared" si="4"/>
        <v>1.4482497553054292</v>
      </c>
      <c r="AA30" s="320">
        <f t="shared" si="4"/>
        <v>1.4094612042725454</v>
      </c>
      <c r="AB30" s="320">
        <f t="shared" si="4"/>
        <v>2.23869454839973</v>
      </c>
      <c r="AC30" s="320">
        <f t="shared" si="4"/>
        <v>1.9276488714790472</v>
      </c>
      <c r="AD30" s="320">
        <f t="shared" si="4"/>
        <v>1.5260685631968223</v>
      </c>
    </row>
    <row r="31" ht="12.75">
      <c r="T31" s="194"/>
    </row>
    <row r="32" spans="20:30" ht="12.75">
      <c r="T32" s="194"/>
      <c r="V32" s="325" t="s">
        <v>229</v>
      </c>
      <c r="W32" s="316">
        <f aca="true" t="shared" si="5" ref="W32:AD32">+AVERAGE(C7:C27)</f>
        <v>1108.4</v>
      </c>
      <c r="X32" s="316">
        <f t="shared" si="5"/>
        <v>1134.7619047619048</v>
      </c>
      <c r="Y32" s="316">
        <f t="shared" si="5"/>
        <v>1096.047619047619</v>
      </c>
      <c r="Z32" s="316">
        <f t="shared" si="5"/>
        <v>1079.7619047619048</v>
      </c>
      <c r="AA32" s="316">
        <f t="shared" si="5"/>
        <v>1097.095238095238</v>
      </c>
      <c r="AB32" s="316">
        <f t="shared" si="5"/>
        <v>1092.2857142857142</v>
      </c>
      <c r="AC32" s="316">
        <f t="shared" si="5"/>
        <v>1071.5238095238096</v>
      </c>
      <c r="AD32" s="316">
        <f t="shared" si="5"/>
        <v>1068.3809523809523</v>
      </c>
    </row>
    <row r="33" spans="20:30" ht="12.75">
      <c r="T33" s="194"/>
      <c r="V33" s="325" t="s">
        <v>230</v>
      </c>
      <c r="W33" s="316">
        <f aca="true" t="shared" si="6" ref="W33:AD33">+AVERAGE(K7:K27)</f>
        <v>550.7142857142857</v>
      </c>
      <c r="X33" s="316">
        <f t="shared" si="6"/>
        <v>511.57142857142856</v>
      </c>
      <c r="Y33" s="316">
        <f t="shared" si="6"/>
        <v>384.14285714285717</v>
      </c>
      <c r="Z33" s="316">
        <f t="shared" si="6"/>
        <v>450.7142857142857</v>
      </c>
      <c r="AA33" s="316">
        <f t="shared" si="6"/>
        <v>470.2857142857143</v>
      </c>
      <c r="AB33" s="316">
        <f t="shared" si="6"/>
        <v>347.7142857142857</v>
      </c>
      <c r="AC33" s="316">
        <f t="shared" si="6"/>
        <v>377.25</v>
      </c>
      <c r="AD33" s="316">
        <f t="shared" si="6"/>
        <v>429.6666666666667</v>
      </c>
    </row>
    <row r="34" spans="20:30" ht="12.75">
      <c r="T34" s="194"/>
      <c r="V34" s="325" t="s">
        <v>195</v>
      </c>
      <c r="W34" s="317">
        <f aca="true" t="shared" si="7" ref="W34:AD34">+W32/W33-1</f>
        <v>1.0126588845654996</v>
      </c>
      <c r="X34" s="317">
        <f t="shared" si="7"/>
        <v>1.2181885879177141</v>
      </c>
      <c r="Y34" s="317">
        <f t="shared" si="7"/>
        <v>1.8532292054047352</v>
      </c>
      <c r="Z34" s="317">
        <f t="shared" si="7"/>
        <v>1.3956682514527206</v>
      </c>
      <c r="AA34" s="317">
        <f t="shared" si="7"/>
        <v>1.332827055488052</v>
      </c>
      <c r="AB34" s="317">
        <f t="shared" si="7"/>
        <v>2.1413311421528345</v>
      </c>
      <c r="AC34" s="317">
        <f t="shared" si="7"/>
        <v>1.8403546972135443</v>
      </c>
      <c r="AD34" s="317">
        <f t="shared" si="7"/>
        <v>1.4865344120580737</v>
      </c>
    </row>
    <row r="35" ht="12.75">
      <c r="T35" s="194"/>
    </row>
    <row r="36" ht="12.75">
      <c r="T36" s="194"/>
    </row>
    <row r="37" ht="12.75">
      <c r="T37" s="194"/>
    </row>
    <row r="48" ht="12.75">
      <c r="C48" s="35" t="s">
        <v>201</v>
      </c>
    </row>
  </sheetData>
  <sheetProtection/>
  <mergeCells count="5">
    <mergeCell ref="B2:R2"/>
    <mergeCell ref="B3:R3"/>
    <mergeCell ref="B4:R4"/>
    <mergeCell ref="C5:J5"/>
    <mergeCell ref="K5:R5"/>
  </mergeCells>
  <conditionalFormatting sqref="W32:AD32">
    <cfRule type="colorScale" priority="4" dxfId="2">
      <colorScale>
        <cfvo type="min" val="0"/>
        <cfvo type="percentile" val="50"/>
        <cfvo type="max"/>
        <color rgb="FFF8696B"/>
        <color rgb="FFFFEB84"/>
        <color rgb="FF63BE7B"/>
      </colorScale>
    </cfRule>
  </conditionalFormatting>
  <conditionalFormatting sqref="W33:AD33">
    <cfRule type="colorScale" priority="3" dxfId="2">
      <colorScale>
        <cfvo type="min" val="0"/>
        <cfvo type="percentile" val="50"/>
        <cfvo type="max"/>
        <color rgb="FFF8696B"/>
        <color rgb="FFFFEB84"/>
        <color rgb="FF63BE7B"/>
      </colorScale>
    </cfRule>
  </conditionalFormatting>
  <conditionalFormatting sqref="W34:AD34">
    <cfRule type="colorScale" priority="1" dxfId="2">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50"/>
  <sheetViews>
    <sheetView zoomScale="80" zoomScaleNormal="80" zoomScaleSheetLayoutView="80" zoomScalePageLayoutView="60" workbookViewId="0" topLeftCell="A1">
      <selection activeCell="A1" sqref="A1"/>
    </sheetView>
  </sheetViews>
  <sheetFormatPr defaultColWidth="14.421875" defaultRowHeight="15"/>
  <cols>
    <col min="1" max="1" width="1.421875" style="20" customWidth="1"/>
    <col min="2" max="7" width="18.421875" style="20" customWidth="1"/>
    <col min="8" max="8" width="14.421875" style="20" customWidth="1"/>
    <col min="9" max="9" width="10.421875" style="174" customWidth="1"/>
    <col min="10" max="10" width="7.28125" style="166" hidden="1" customWidth="1"/>
    <col min="11" max="12" width="8.421875" style="166" hidden="1" customWidth="1"/>
    <col min="13" max="13" width="14.421875" style="174" customWidth="1"/>
    <col min="14" max="16384" width="14.421875" style="20" customWidth="1"/>
  </cols>
  <sheetData>
    <row r="1" ht="6" customHeight="1"/>
    <row r="2" spans="1:9" ht="12.75">
      <c r="A2" s="2"/>
      <c r="C2" s="367" t="s">
        <v>14</v>
      </c>
      <c r="D2" s="367"/>
      <c r="E2" s="367"/>
      <c r="F2" s="367"/>
      <c r="H2" s="48" t="s">
        <v>152</v>
      </c>
      <c r="I2" s="173"/>
    </row>
    <row r="3" spans="1:6" ht="12.75">
      <c r="A3" s="2"/>
      <c r="C3" s="367" t="s">
        <v>123</v>
      </c>
      <c r="D3" s="367"/>
      <c r="E3" s="367"/>
      <c r="F3" s="367"/>
    </row>
    <row r="4" spans="1:6" ht="12.75">
      <c r="A4" s="2"/>
      <c r="C4" s="25"/>
      <c r="D4" s="25"/>
      <c r="E4" s="25"/>
      <c r="F4" s="25"/>
    </row>
    <row r="5" spans="1:6" ht="12.75" customHeight="1">
      <c r="A5" s="2"/>
      <c r="C5" s="368" t="s">
        <v>13</v>
      </c>
      <c r="D5" s="370" t="s">
        <v>154</v>
      </c>
      <c r="E5" s="370" t="s">
        <v>155</v>
      </c>
      <c r="F5" s="370" t="s">
        <v>156</v>
      </c>
    </row>
    <row r="6" spans="1:6" ht="12.75">
      <c r="A6" s="2"/>
      <c r="C6" s="369"/>
      <c r="D6" s="371"/>
      <c r="E6" s="371"/>
      <c r="F6" s="371"/>
    </row>
    <row r="7" spans="1:9" ht="12.75">
      <c r="A7" s="2"/>
      <c r="C7" s="25" t="s">
        <v>12</v>
      </c>
      <c r="D7" s="91">
        <v>63110</v>
      </c>
      <c r="E7" s="91">
        <v>1210044.3</v>
      </c>
      <c r="F7" s="97">
        <v>19.173574710822372</v>
      </c>
      <c r="H7" s="143"/>
      <c r="I7" s="172"/>
    </row>
    <row r="8" spans="1:12" ht="12.75">
      <c r="A8" s="2"/>
      <c r="C8" s="25" t="s">
        <v>11</v>
      </c>
      <c r="D8" s="91">
        <v>61360</v>
      </c>
      <c r="E8" s="91">
        <v>1303267.5</v>
      </c>
      <c r="F8" s="97">
        <v>21.239691981747065</v>
      </c>
      <c r="J8" s="195">
        <f aca="true" t="shared" si="0" ref="J8:J22">+(D8-D7)/D7</f>
        <v>-0.027729361432419584</v>
      </c>
      <c r="K8" s="195">
        <f aca="true" t="shared" si="1" ref="K8:L22">+(E8-E7)/E7</f>
        <v>0.07704114634480734</v>
      </c>
      <c r="L8" s="195">
        <f t="shared" si="1"/>
        <v>0.10775858451468047</v>
      </c>
    </row>
    <row r="9" spans="1:12" ht="12.75">
      <c r="A9" s="2"/>
      <c r="C9" s="25" t="s">
        <v>10</v>
      </c>
      <c r="D9" s="91">
        <v>56000</v>
      </c>
      <c r="E9" s="91">
        <v>1093728.4</v>
      </c>
      <c r="F9" s="97">
        <v>19.530864285714287</v>
      </c>
      <c r="J9" s="195">
        <f t="shared" si="0"/>
        <v>-0.08735332464146023</v>
      </c>
      <c r="K9" s="195">
        <f t="shared" si="1"/>
        <v>-0.16077980921031185</v>
      </c>
      <c r="L9" s="195">
        <f t="shared" si="1"/>
        <v>-0.08045444809187004</v>
      </c>
    </row>
    <row r="10" spans="1:12" ht="12.75">
      <c r="A10" s="2"/>
      <c r="C10" s="25" t="s">
        <v>9</v>
      </c>
      <c r="D10" s="91">
        <v>59560</v>
      </c>
      <c r="E10" s="91">
        <v>1144170</v>
      </c>
      <c r="F10" s="97">
        <v>19.210376091336467</v>
      </c>
      <c r="J10" s="195">
        <f t="shared" si="0"/>
        <v>0.06357142857142857</v>
      </c>
      <c r="K10" s="195">
        <f t="shared" si="1"/>
        <v>0.04611894506899528</v>
      </c>
      <c r="L10" s="195">
        <f t="shared" si="1"/>
        <v>-0.016409319612764834</v>
      </c>
    </row>
    <row r="11" spans="1:12" ht="12.75">
      <c r="A11" s="2"/>
      <c r="C11" s="25" t="s">
        <v>8</v>
      </c>
      <c r="D11" s="91">
        <v>55620</v>
      </c>
      <c r="E11" s="91">
        <v>1115735.7</v>
      </c>
      <c r="F11" s="97">
        <v>20.059973031283707</v>
      </c>
      <c r="G11" s="56"/>
      <c r="J11" s="195">
        <f t="shared" si="0"/>
        <v>-0.0661517797179315</v>
      </c>
      <c r="K11" s="195">
        <f t="shared" si="1"/>
        <v>-0.02485146438029318</v>
      </c>
      <c r="L11" s="195">
        <f t="shared" si="1"/>
        <v>0.04422593997680206</v>
      </c>
    </row>
    <row r="12" spans="1:12" ht="12.75">
      <c r="A12" s="2"/>
      <c r="C12" s="25" t="s">
        <v>7</v>
      </c>
      <c r="D12" s="91">
        <v>63200</v>
      </c>
      <c r="E12" s="91">
        <v>1391378.2</v>
      </c>
      <c r="F12" s="97">
        <v>22.015477848101266</v>
      </c>
      <c r="J12" s="195">
        <f t="shared" si="0"/>
        <v>0.1362819129809421</v>
      </c>
      <c r="K12" s="195">
        <f t="shared" si="1"/>
        <v>0.2470499958009769</v>
      </c>
      <c r="L12" s="195">
        <f t="shared" si="1"/>
        <v>0.09748292351978398</v>
      </c>
    </row>
    <row r="13" spans="1:12" ht="12.75">
      <c r="A13" s="2"/>
      <c r="C13" s="25" t="s">
        <v>6</v>
      </c>
      <c r="D13" s="91">
        <v>54145</v>
      </c>
      <c r="E13" s="91">
        <v>834859.9</v>
      </c>
      <c r="F13" s="97">
        <v>15.41896574014221</v>
      </c>
      <c r="J13" s="195">
        <f t="shared" si="0"/>
        <v>-0.1432753164556962</v>
      </c>
      <c r="K13" s="195">
        <f t="shared" si="1"/>
        <v>-0.39997629688319103</v>
      </c>
      <c r="L13" s="195">
        <f t="shared" si="1"/>
        <v>-0.29963065773418923</v>
      </c>
    </row>
    <row r="14" spans="1:12" ht="12.75">
      <c r="A14" s="2"/>
      <c r="C14" s="25" t="s">
        <v>5</v>
      </c>
      <c r="D14" s="91">
        <v>55976</v>
      </c>
      <c r="E14" s="91">
        <v>965939.5</v>
      </c>
      <c r="F14" s="97">
        <v>17.25631520651708</v>
      </c>
      <c r="J14" s="195">
        <f t="shared" si="0"/>
        <v>0.03381660356450272</v>
      </c>
      <c r="K14" s="195">
        <f t="shared" si="1"/>
        <v>0.1570079003674748</v>
      </c>
      <c r="L14" s="195">
        <f t="shared" si="1"/>
        <v>0.11916165437682093</v>
      </c>
    </row>
    <row r="15" spans="1:12" ht="12.75">
      <c r="A15" s="2"/>
      <c r="C15" s="25" t="s">
        <v>4</v>
      </c>
      <c r="D15" s="91">
        <v>45078</v>
      </c>
      <c r="E15" s="91">
        <v>924548.1</v>
      </c>
      <c r="F15" s="97">
        <v>20.50996273126581</v>
      </c>
      <c r="J15" s="195">
        <f t="shared" si="0"/>
        <v>-0.19469058167786193</v>
      </c>
      <c r="K15" s="195">
        <f t="shared" si="1"/>
        <v>-0.04285092389326663</v>
      </c>
      <c r="L15" s="195">
        <f t="shared" si="1"/>
        <v>0.18854822051001624</v>
      </c>
    </row>
    <row r="16" spans="1:12" ht="12.75">
      <c r="A16" s="2"/>
      <c r="C16" s="25" t="s">
        <v>3</v>
      </c>
      <c r="D16" s="91">
        <v>50771</v>
      </c>
      <c r="E16" s="91">
        <v>1081349.2</v>
      </c>
      <c r="F16" s="97">
        <v>21.3</v>
      </c>
      <c r="J16" s="195">
        <f t="shared" si="0"/>
        <v>0.12629220462309773</v>
      </c>
      <c r="K16" s="195">
        <f t="shared" si="1"/>
        <v>0.1695975579853552</v>
      </c>
      <c r="L16" s="195">
        <f t="shared" si="1"/>
        <v>0.03851968329176157</v>
      </c>
    </row>
    <row r="17" spans="1:12" ht="12.75">
      <c r="A17" s="2"/>
      <c r="C17" s="25" t="s">
        <v>2</v>
      </c>
      <c r="D17" s="91">
        <v>53653</v>
      </c>
      <c r="E17" s="91">
        <v>1676444</v>
      </c>
      <c r="F17" s="97">
        <v>31.25</v>
      </c>
      <c r="J17" s="195">
        <f t="shared" si="0"/>
        <v>0.05676468850327943</v>
      </c>
      <c r="K17" s="195">
        <f t="shared" si="1"/>
        <v>0.5503262035982457</v>
      </c>
      <c r="L17" s="195">
        <f t="shared" si="1"/>
        <v>0.46713615023474175</v>
      </c>
    </row>
    <row r="18" spans="1:12" ht="12.75">
      <c r="A18" s="2"/>
      <c r="C18" s="25" t="s">
        <v>122</v>
      </c>
      <c r="D18" s="91">
        <v>41534</v>
      </c>
      <c r="E18" s="91">
        <v>1093452</v>
      </c>
      <c r="F18" s="97">
        <v>26.33</v>
      </c>
      <c r="G18" s="54"/>
      <c r="J18" s="195">
        <f t="shared" si="0"/>
        <v>-0.22587739734963563</v>
      </c>
      <c r="K18" s="195">
        <f t="shared" si="1"/>
        <v>-0.3477551293094192</v>
      </c>
      <c r="L18" s="195">
        <f t="shared" si="1"/>
        <v>-0.15744000000000005</v>
      </c>
    </row>
    <row r="19" spans="1:12" ht="12.75">
      <c r="A19" s="2"/>
      <c r="C19" s="25" t="s">
        <v>131</v>
      </c>
      <c r="D19" s="91">
        <v>49576</v>
      </c>
      <c r="E19" s="91">
        <v>1159022.1</v>
      </c>
      <c r="F19" s="97">
        <v>23.3786933193481</v>
      </c>
      <c r="G19" s="54"/>
      <c r="J19" s="195">
        <f t="shared" si="0"/>
        <v>0.19362450040930324</v>
      </c>
      <c r="K19" s="195">
        <f t="shared" si="1"/>
        <v>0.059966143918526</v>
      </c>
      <c r="L19" s="195">
        <f t="shared" si="1"/>
        <v>-0.1120891257368743</v>
      </c>
    </row>
    <row r="20" spans="1:12" ht="12.75" customHeight="1">
      <c r="A20" s="2"/>
      <c r="C20" s="25" t="s">
        <v>146</v>
      </c>
      <c r="D20" s="91">
        <v>48965</v>
      </c>
      <c r="E20" s="91">
        <f>+D20*F20</f>
        <v>1061324.9400000002</v>
      </c>
      <c r="F20" s="97">
        <v>21.675174920861842</v>
      </c>
      <c r="H20" s="282"/>
      <c r="J20" s="195">
        <f t="shared" si="0"/>
        <v>-0.0123245118605777</v>
      </c>
      <c r="K20" s="195">
        <f t="shared" si="1"/>
        <v>-0.0842927498966585</v>
      </c>
      <c r="L20" s="195">
        <f t="shared" si="1"/>
        <v>-0.07286627936029394</v>
      </c>
    </row>
    <row r="21" spans="1:12" ht="12.75">
      <c r="A21" s="2"/>
      <c r="C21" s="25" t="s">
        <v>179</v>
      </c>
      <c r="D21" s="91">
        <v>50526.3379674093</v>
      </c>
      <c r="E21" s="91">
        <v>960502</v>
      </c>
      <c r="F21" s="97">
        <v>19.01</v>
      </c>
      <c r="G21" s="161"/>
      <c r="I21" s="189"/>
      <c r="J21" s="195">
        <f t="shared" si="0"/>
        <v>0.03188681644867357</v>
      </c>
      <c r="K21" s="195">
        <f t="shared" si="1"/>
        <v>-0.09499723995932872</v>
      </c>
      <c r="L21" s="195">
        <f t="shared" si="1"/>
        <v>-0.12295978835661772</v>
      </c>
    </row>
    <row r="22" spans="1:12" ht="12.75" customHeight="1">
      <c r="A22" s="2"/>
      <c r="C22" s="25" t="s">
        <v>199</v>
      </c>
      <c r="D22" s="91">
        <v>53485</v>
      </c>
      <c r="E22" s="91">
        <v>1166024.9</v>
      </c>
      <c r="F22" s="97">
        <v>21.8</v>
      </c>
      <c r="G22" s="161"/>
      <c r="J22" s="195">
        <f t="shared" si="0"/>
        <v>0.058556827025522944</v>
      </c>
      <c r="K22" s="195">
        <f t="shared" si="1"/>
        <v>0.21397446335353795</v>
      </c>
      <c r="L22" s="195">
        <f t="shared" si="1"/>
        <v>0.14676486059968433</v>
      </c>
    </row>
    <row r="23" spans="1:12" ht="12.75" customHeight="1">
      <c r="A23" s="2"/>
      <c r="C23" s="249" t="s">
        <v>245</v>
      </c>
      <c r="D23" s="91">
        <v>55683</v>
      </c>
      <c r="E23" s="248">
        <f>+D23*F23</f>
        <v>1213889.4000000001</v>
      </c>
      <c r="F23" s="247">
        <f>+F22</f>
        <v>21.8</v>
      </c>
      <c r="G23" s="265"/>
      <c r="J23" s="195">
        <f>+(D23-D22)/D22</f>
        <v>0.041095634289987845</v>
      </c>
      <c r="K23" s="195">
        <f>+(E23-E22)/E22</f>
        <v>0.041049294916429516</v>
      </c>
      <c r="L23" s="195">
        <f>+(F23-F22)/F22</f>
        <v>0</v>
      </c>
    </row>
    <row r="24" spans="1:7" ht="12.75">
      <c r="A24" s="2"/>
      <c r="B24" s="162"/>
      <c r="C24" s="168" t="s">
        <v>135</v>
      </c>
      <c r="D24" s="167"/>
      <c r="E24" s="167"/>
      <c r="F24" s="167"/>
      <c r="G24" s="162"/>
    </row>
    <row r="25" spans="1:7" ht="26.25" customHeight="1">
      <c r="A25" s="2"/>
      <c r="B25" s="162"/>
      <c r="C25" s="372" t="s">
        <v>252</v>
      </c>
      <c r="D25" s="372"/>
      <c r="E25" s="372"/>
      <c r="F25" s="372"/>
      <c r="G25" s="162"/>
    </row>
    <row r="26" spans="1:8" ht="12.75">
      <c r="A26" s="2"/>
      <c r="C26" s="366"/>
      <c r="D26" s="366"/>
      <c r="E26" s="366"/>
      <c r="F26" s="366"/>
      <c r="G26" s="366"/>
      <c r="H26" s="366"/>
    </row>
    <row r="27" ht="12.75">
      <c r="G27" s="55"/>
    </row>
    <row r="33" ht="15">
      <c r="K33" s="283"/>
    </row>
    <row r="37" ht="12.75">
      <c r="I37" s="246"/>
    </row>
    <row r="45" spans="8:9" ht="12.75">
      <c r="H45" s="55"/>
      <c r="I45" s="175"/>
    </row>
    <row r="50" ht="12.75">
      <c r="B50" s="26" t="s">
        <v>135</v>
      </c>
    </row>
  </sheetData>
  <sheetProtection/>
  <mergeCells count="8">
    <mergeCell ref="C26:H26"/>
    <mergeCell ref="C2:F2"/>
    <mergeCell ref="C3:F3"/>
    <mergeCell ref="C5:C6"/>
    <mergeCell ref="D5:D6"/>
    <mergeCell ref="E5:E6"/>
    <mergeCell ref="F5:F6"/>
    <mergeCell ref="C25:F25"/>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Y52"/>
  <sheetViews>
    <sheetView zoomScale="80" zoomScaleNormal="80" zoomScalePageLayoutView="90" workbookViewId="0" topLeftCell="A1">
      <selection activeCell="A1" sqref="A1"/>
    </sheetView>
  </sheetViews>
  <sheetFormatPr defaultColWidth="15.8515625" defaultRowHeight="15"/>
  <cols>
    <col min="1" max="1" width="1.421875" style="20" customWidth="1"/>
    <col min="2" max="2" width="9.421875" style="20" customWidth="1"/>
    <col min="3" max="3" width="11.8515625" style="20" customWidth="1"/>
    <col min="4" max="4" width="12.421875" style="20" customWidth="1"/>
    <col min="5" max="5" width="14.8515625" style="20" customWidth="1"/>
    <col min="6" max="6" width="11.421875" style="20" customWidth="1"/>
    <col min="7" max="7" width="11.8515625" style="20" customWidth="1"/>
    <col min="8" max="8" width="11.7109375" style="20" customWidth="1"/>
    <col min="9" max="9" width="14.421875" style="20" customWidth="1"/>
    <col min="10" max="10" width="11.28125" style="20" customWidth="1"/>
    <col min="11" max="11" width="12.140625" style="20" customWidth="1"/>
    <col min="12" max="12" width="10.57421875" style="20" customWidth="1"/>
    <col min="13" max="13" width="2.00390625" style="20" customWidth="1"/>
    <col min="14" max="14" width="14.00390625" style="20" customWidth="1"/>
    <col min="15" max="15" width="6.8515625" style="174" customWidth="1"/>
    <col min="16" max="16" width="9.57421875" style="166" hidden="1" customWidth="1"/>
    <col min="17" max="17" width="10.57421875" style="166" hidden="1" customWidth="1"/>
    <col min="18" max="18" width="12.7109375" style="166" hidden="1" customWidth="1"/>
    <col min="19" max="19" width="9.57421875" style="166" hidden="1" customWidth="1"/>
    <col min="20" max="20" width="7.8515625" style="166" hidden="1" customWidth="1"/>
    <col min="21" max="21" width="7.421875" style="166" hidden="1" customWidth="1"/>
    <col min="22" max="22" width="12.8515625" style="166" hidden="1" customWidth="1"/>
    <col min="23" max="23" width="8.7109375" style="166" hidden="1" customWidth="1"/>
    <col min="24" max="24" width="10.28125" style="166" hidden="1" customWidth="1"/>
    <col min="25" max="25" width="0" style="166" hidden="1" customWidth="1"/>
    <col min="26" max="16384" width="15.8515625" style="20" customWidth="1"/>
  </cols>
  <sheetData>
    <row r="1" ht="6" customHeight="1"/>
    <row r="2" spans="2:14" ht="12.75">
      <c r="B2" s="354" t="s">
        <v>107</v>
      </c>
      <c r="C2" s="354"/>
      <c r="D2" s="354"/>
      <c r="E2" s="354"/>
      <c r="F2" s="354"/>
      <c r="G2" s="354"/>
      <c r="H2" s="354"/>
      <c r="I2" s="354"/>
      <c r="J2" s="354"/>
      <c r="K2" s="354"/>
      <c r="L2" s="354"/>
      <c r="M2" s="286"/>
      <c r="N2" s="48" t="s">
        <v>152</v>
      </c>
    </row>
    <row r="3" spans="2:13" ht="12.75" customHeight="1">
      <c r="B3" s="354" t="s">
        <v>49</v>
      </c>
      <c r="C3" s="354"/>
      <c r="D3" s="354"/>
      <c r="E3" s="354"/>
      <c r="F3" s="354"/>
      <c r="G3" s="354"/>
      <c r="H3" s="354"/>
      <c r="I3" s="354"/>
      <c r="J3" s="354"/>
      <c r="K3" s="354"/>
      <c r="L3" s="354"/>
      <c r="M3" s="286"/>
    </row>
    <row r="4" spans="2:13" ht="12.75">
      <c r="B4" s="354" t="s">
        <v>27</v>
      </c>
      <c r="C4" s="354"/>
      <c r="D4" s="354"/>
      <c r="E4" s="354"/>
      <c r="F4" s="354"/>
      <c r="G4" s="354"/>
      <c r="H4" s="354"/>
      <c r="I4" s="354"/>
      <c r="J4" s="354"/>
      <c r="K4" s="354"/>
      <c r="L4" s="354"/>
      <c r="M4" s="286"/>
    </row>
    <row r="5" spans="2:11" ht="12.75">
      <c r="B5" s="2"/>
      <c r="C5" s="2"/>
      <c r="D5" s="2"/>
      <c r="E5" s="2"/>
      <c r="F5" s="2"/>
      <c r="G5" s="2"/>
      <c r="H5" s="2"/>
      <c r="I5" s="2"/>
      <c r="J5" s="52"/>
      <c r="K5" s="2"/>
    </row>
    <row r="6" spans="2:13" ht="12.75">
      <c r="B6" s="373" t="s">
        <v>13</v>
      </c>
      <c r="C6" s="301" t="s">
        <v>24</v>
      </c>
      <c r="D6" s="301" t="s">
        <v>24</v>
      </c>
      <c r="E6" s="301" t="s">
        <v>26</v>
      </c>
      <c r="F6" s="301" t="s">
        <v>24</v>
      </c>
      <c r="G6" s="301" t="s">
        <v>25</v>
      </c>
      <c r="H6" s="301" t="s">
        <v>25</v>
      </c>
      <c r="I6" s="301" t="s">
        <v>24</v>
      </c>
      <c r="J6" s="301" t="s">
        <v>24</v>
      </c>
      <c r="K6" s="301" t="s">
        <v>24</v>
      </c>
      <c r="L6" s="301" t="s">
        <v>158</v>
      </c>
      <c r="M6" s="1"/>
    </row>
    <row r="7" spans="2:24" ht="12.75">
      <c r="B7" s="374"/>
      <c r="C7" s="302" t="s">
        <v>23</v>
      </c>
      <c r="D7" s="302" t="s">
        <v>22</v>
      </c>
      <c r="E7" s="302" t="s">
        <v>21</v>
      </c>
      <c r="F7" s="302" t="s">
        <v>20</v>
      </c>
      <c r="G7" s="302" t="s">
        <v>19</v>
      </c>
      <c r="H7" s="302" t="s">
        <v>18</v>
      </c>
      <c r="I7" s="302" t="s">
        <v>17</v>
      </c>
      <c r="J7" s="302" t="s">
        <v>16</v>
      </c>
      <c r="K7" s="302" t="s">
        <v>15</v>
      </c>
      <c r="L7" s="302" t="s">
        <v>159</v>
      </c>
      <c r="M7" s="1"/>
      <c r="P7" s="326" t="str">
        <f>+C7</f>
        <v>Coquimbo</v>
      </c>
      <c r="Q7" s="326" t="str">
        <f aca="true" t="shared" si="0" ref="Q7:V7">+D7</f>
        <v>Valparaíso</v>
      </c>
      <c r="R7" s="326" t="str">
        <f t="shared" si="0"/>
        <v>Metropolitana</v>
      </c>
      <c r="S7" s="326" t="str">
        <f t="shared" si="0"/>
        <v>O´Higgins</v>
      </c>
      <c r="T7" s="326" t="str">
        <f t="shared" si="0"/>
        <v>Maule</v>
      </c>
      <c r="U7" s="326" t="str">
        <f t="shared" si="0"/>
        <v>Bío Bío</v>
      </c>
      <c r="V7" s="326" t="str">
        <f t="shared" si="0"/>
        <v>La Araucanía</v>
      </c>
      <c r="W7" s="326" t="str">
        <f>+J7</f>
        <v>Los Ríos</v>
      </c>
      <c r="X7" s="326" t="str">
        <f>+K7</f>
        <v>Los Lagos</v>
      </c>
    </row>
    <row r="8" spans="2:13" ht="12.75">
      <c r="B8" s="74" t="s">
        <v>11</v>
      </c>
      <c r="C8" s="73">
        <v>5960</v>
      </c>
      <c r="D8" s="73">
        <v>1480</v>
      </c>
      <c r="E8" s="73">
        <v>4280</v>
      </c>
      <c r="F8" s="73">
        <v>2960</v>
      </c>
      <c r="G8" s="73">
        <v>4170</v>
      </c>
      <c r="H8" s="73">
        <v>5240</v>
      </c>
      <c r="I8" s="73">
        <v>18030</v>
      </c>
      <c r="J8" s="74"/>
      <c r="K8" s="73">
        <v>17930</v>
      </c>
      <c r="L8" s="73"/>
      <c r="M8" s="73"/>
    </row>
    <row r="9" spans="2:24" ht="12.75">
      <c r="B9" s="74" t="s">
        <v>10</v>
      </c>
      <c r="C9" s="73">
        <v>5420</v>
      </c>
      <c r="D9" s="73">
        <v>1190</v>
      </c>
      <c r="E9" s="73">
        <v>4090</v>
      </c>
      <c r="F9" s="73">
        <v>3140</v>
      </c>
      <c r="G9" s="73">
        <v>3850</v>
      </c>
      <c r="H9" s="73">
        <v>5690</v>
      </c>
      <c r="I9" s="73">
        <v>15000</v>
      </c>
      <c r="J9" s="74"/>
      <c r="K9" s="73">
        <v>16310</v>
      </c>
      <c r="L9" s="73"/>
      <c r="M9" s="73"/>
      <c r="P9" s="195">
        <f aca="true" t="shared" si="1" ref="P9:P21">+C9/C8-1</f>
        <v>-0.09060402684563762</v>
      </c>
      <c r="Q9" s="195">
        <f aca="true" t="shared" si="2" ref="Q9:Q21">+D9/D8-1</f>
        <v>-0.19594594594594594</v>
      </c>
      <c r="R9" s="195">
        <f aca="true" t="shared" si="3" ref="R9:R21">+E9/E8-1</f>
        <v>-0.04439252336448596</v>
      </c>
      <c r="S9" s="195">
        <f aca="true" t="shared" si="4" ref="S9:S21">+F9/F8-1</f>
        <v>0.060810810810810745</v>
      </c>
      <c r="T9" s="195">
        <f aca="true" t="shared" si="5" ref="T9:T21">+G9/G8-1</f>
        <v>-0.0767386091127098</v>
      </c>
      <c r="U9" s="195">
        <f aca="true" t="shared" si="6" ref="U9:U21">+H9/H8-1</f>
        <v>0.08587786259541974</v>
      </c>
      <c r="V9" s="195">
        <f aca="true" t="shared" si="7" ref="V9:V21">+I9/I8-1</f>
        <v>-0.16805324459234605</v>
      </c>
      <c r="W9" s="195" t="e">
        <f aca="true" t="shared" si="8" ref="W9:W21">+J9/J8-1</f>
        <v>#DIV/0!</v>
      </c>
      <c r="X9" s="195">
        <f aca="true" t="shared" si="9" ref="X9:X21">+K9/K8-1</f>
        <v>-0.09035136642498609</v>
      </c>
    </row>
    <row r="10" spans="2:24" ht="12.75">
      <c r="B10" s="74" t="s">
        <v>9</v>
      </c>
      <c r="C10" s="73">
        <v>5400</v>
      </c>
      <c r="D10" s="73">
        <v>1200</v>
      </c>
      <c r="E10" s="73">
        <v>4000</v>
      </c>
      <c r="F10" s="73">
        <v>3450</v>
      </c>
      <c r="G10" s="73">
        <v>3800</v>
      </c>
      <c r="H10" s="73">
        <v>6400</v>
      </c>
      <c r="I10" s="73">
        <v>16800</v>
      </c>
      <c r="J10" s="74"/>
      <c r="K10" s="73">
        <v>17200</v>
      </c>
      <c r="L10" s="73"/>
      <c r="M10" s="73"/>
      <c r="N10" s="53"/>
      <c r="P10" s="195">
        <f t="shared" si="1"/>
        <v>-0.0036900369003689537</v>
      </c>
      <c r="Q10" s="195">
        <f t="shared" si="2"/>
        <v>0.008403361344537785</v>
      </c>
      <c r="R10" s="195">
        <f t="shared" si="3"/>
        <v>-0.022004889975550168</v>
      </c>
      <c r="S10" s="195">
        <f t="shared" si="4"/>
        <v>0.09872611464968162</v>
      </c>
      <c r="T10" s="195">
        <f t="shared" si="5"/>
        <v>-0.012987012987012991</v>
      </c>
      <c r="U10" s="195">
        <f t="shared" si="6"/>
        <v>0.12478031634446407</v>
      </c>
      <c r="V10" s="195">
        <f t="shared" si="7"/>
        <v>0.1200000000000001</v>
      </c>
      <c r="W10" s="195" t="e">
        <f t="shared" si="8"/>
        <v>#DIV/0!</v>
      </c>
      <c r="X10" s="195">
        <f t="shared" si="9"/>
        <v>0.05456774984671986</v>
      </c>
    </row>
    <row r="11" spans="2:24" ht="12.75">
      <c r="B11" s="74" t="s">
        <v>8</v>
      </c>
      <c r="C11" s="73">
        <v>4960</v>
      </c>
      <c r="D11" s="73">
        <v>1550</v>
      </c>
      <c r="E11" s="73">
        <v>3260</v>
      </c>
      <c r="F11" s="73">
        <v>2820</v>
      </c>
      <c r="G11" s="73">
        <v>2800</v>
      </c>
      <c r="H11" s="73">
        <v>6290</v>
      </c>
      <c r="I11" s="73">
        <v>15620</v>
      </c>
      <c r="J11" s="74"/>
      <c r="K11" s="73">
        <v>17010</v>
      </c>
      <c r="L11" s="73"/>
      <c r="M11" s="73"/>
      <c r="N11" s="53"/>
      <c r="P11" s="195">
        <f t="shared" si="1"/>
        <v>-0.08148148148148149</v>
      </c>
      <c r="Q11" s="195">
        <f t="shared" si="2"/>
        <v>0.29166666666666674</v>
      </c>
      <c r="R11" s="195">
        <f t="shared" si="3"/>
        <v>-0.18500000000000005</v>
      </c>
      <c r="S11" s="195">
        <f t="shared" si="4"/>
        <v>-0.18260869565217386</v>
      </c>
      <c r="T11" s="195">
        <f t="shared" si="5"/>
        <v>-0.26315789473684215</v>
      </c>
      <c r="U11" s="195">
        <f t="shared" si="6"/>
        <v>-0.017187500000000022</v>
      </c>
      <c r="V11" s="195">
        <f t="shared" si="7"/>
        <v>-0.07023809523809521</v>
      </c>
      <c r="W11" s="195" t="e">
        <f t="shared" si="8"/>
        <v>#DIV/0!</v>
      </c>
      <c r="X11" s="195">
        <f t="shared" si="9"/>
        <v>-0.01104651162790693</v>
      </c>
    </row>
    <row r="12" spans="2:24" ht="12.75">
      <c r="B12" s="74" t="s">
        <v>7</v>
      </c>
      <c r="C12" s="73">
        <v>5590</v>
      </c>
      <c r="D12" s="73">
        <v>1870</v>
      </c>
      <c r="E12" s="73">
        <v>4000</v>
      </c>
      <c r="F12" s="73">
        <v>3410</v>
      </c>
      <c r="G12" s="73">
        <v>3740</v>
      </c>
      <c r="H12" s="73">
        <v>6600</v>
      </c>
      <c r="I12" s="73">
        <v>17980</v>
      </c>
      <c r="J12" s="74"/>
      <c r="K12" s="73">
        <v>18700</v>
      </c>
      <c r="L12" s="73"/>
      <c r="M12" s="73"/>
      <c r="N12" s="53"/>
      <c r="P12" s="195">
        <f t="shared" si="1"/>
        <v>0.127016129032258</v>
      </c>
      <c r="Q12" s="195">
        <f t="shared" si="2"/>
        <v>0.2064516129032259</v>
      </c>
      <c r="R12" s="195">
        <f t="shared" si="3"/>
        <v>0.22699386503067487</v>
      </c>
      <c r="S12" s="195">
        <f t="shared" si="4"/>
        <v>0.20921985815602828</v>
      </c>
      <c r="T12" s="195">
        <f t="shared" si="5"/>
        <v>0.33571428571428563</v>
      </c>
      <c r="U12" s="195">
        <f t="shared" si="6"/>
        <v>0.049284578696343395</v>
      </c>
      <c r="V12" s="195">
        <f t="shared" si="7"/>
        <v>0.1510883482714469</v>
      </c>
      <c r="W12" s="195" t="e">
        <f t="shared" si="8"/>
        <v>#DIV/0!</v>
      </c>
      <c r="X12" s="195">
        <f t="shared" si="9"/>
        <v>0.09935332157554377</v>
      </c>
    </row>
    <row r="13" spans="2:24" ht="12.75">
      <c r="B13" s="74" t="s">
        <v>6</v>
      </c>
      <c r="C13" s="75">
        <v>3236.8</v>
      </c>
      <c r="D13" s="75">
        <v>2184.18</v>
      </c>
      <c r="E13" s="75">
        <v>5236.7</v>
      </c>
      <c r="F13" s="75">
        <v>1711.1</v>
      </c>
      <c r="G13" s="75">
        <v>3368.74</v>
      </c>
      <c r="H13" s="75">
        <v>8440.58</v>
      </c>
      <c r="I13" s="75">
        <v>14058.9</v>
      </c>
      <c r="J13" s="75">
        <v>3971.3</v>
      </c>
      <c r="K13" s="75">
        <v>11228.6</v>
      </c>
      <c r="L13" s="75"/>
      <c r="M13" s="75"/>
      <c r="N13" s="53"/>
      <c r="P13" s="195">
        <f t="shared" si="1"/>
        <v>-0.4209660107334525</v>
      </c>
      <c r="Q13" s="195">
        <f t="shared" si="2"/>
        <v>0.1680106951871656</v>
      </c>
      <c r="R13" s="195">
        <f t="shared" si="3"/>
        <v>0.309175</v>
      </c>
      <c r="S13" s="195">
        <f t="shared" si="4"/>
        <v>-0.49821114369501474</v>
      </c>
      <c r="T13" s="195">
        <f t="shared" si="5"/>
        <v>-0.09926737967914445</v>
      </c>
      <c r="U13" s="195">
        <f t="shared" si="6"/>
        <v>0.27887575757575767</v>
      </c>
      <c r="V13" s="195">
        <f t="shared" si="7"/>
        <v>-0.21808120133481645</v>
      </c>
      <c r="W13" s="195" t="e">
        <f t="shared" si="8"/>
        <v>#DIV/0!</v>
      </c>
      <c r="X13" s="195">
        <f t="shared" si="9"/>
        <v>-0.3995401069518716</v>
      </c>
    </row>
    <row r="14" spans="2:24" ht="12.75">
      <c r="B14" s="74" t="s">
        <v>5</v>
      </c>
      <c r="C14" s="73">
        <v>3520</v>
      </c>
      <c r="D14" s="73">
        <v>2040</v>
      </c>
      <c r="E14" s="73">
        <v>5610</v>
      </c>
      <c r="F14" s="73">
        <v>1570</v>
      </c>
      <c r="G14" s="73">
        <v>3430</v>
      </c>
      <c r="H14" s="73">
        <v>8100</v>
      </c>
      <c r="I14" s="73">
        <v>14800</v>
      </c>
      <c r="J14" s="73">
        <v>4240</v>
      </c>
      <c r="K14" s="73">
        <v>11960</v>
      </c>
      <c r="L14" s="73"/>
      <c r="M14" s="73"/>
      <c r="P14" s="195">
        <f t="shared" si="1"/>
        <v>0.08749382105783488</v>
      </c>
      <c r="Q14" s="195">
        <f t="shared" si="2"/>
        <v>-0.06601104304590277</v>
      </c>
      <c r="R14" s="195">
        <f t="shared" si="3"/>
        <v>0.0712853514617986</v>
      </c>
      <c r="S14" s="195">
        <f t="shared" si="4"/>
        <v>-0.08246157442580793</v>
      </c>
      <c r="T14" s="195">
        <f t="shared" si="5"/>
        <v>0.018184840622903486</v>
      </c>
      <c r="U14" s="195">
        <f t="shared" si="6"/>
        <v>-0.04035030768027792</v>
      </c>
      <c r="V14" s="195">
        <f t="shared" si="7"/>
        <v>0.05271393921288303</v>
      </c>
      <c r="W14" s="195">
        <f t="shared" si="8"/>
        <v>0.06766046382796564</v>
      </c>
      <c r="X14" s="195">
        <f t="shared" si="9"/>
        <v>0.06513723883654232</v>
      </c>
    </row>
    <row r="15" spans="2:24" ht="12.75">
      <c r="B15" s="74" t="s">
        <v>4</v>
      </c>
      <c r="C15" s="73">
        <v>2996</v>
      </c>
      <c r="D15" s="73">
        <v>606</v>
      </c>
      <c r="E15" s="73">
        <v>2760</v>
      </c>
      <c r="F15" s="73">
        <v>259</v>
      </c>
      <c r="G15" s="73">
        <v>2183</v>
      </c>
      <c r="H15" s="73">
        <v>7025</v>
      </c>
      <c r="I15" s="73">
        <v>13473</v>
      </c>
      <c r="J15" s="73">
        <v>4567</v>
      </c>
      <c r="K15" s="73">
        <v>10522</v>
      </c>
      <c r="L15" s="73"/>
      <c r="M15" s="73"/>
      <c r="P15" s="195">
        <f t="shared" si="1"/>
        <v>-0.1488636363636363</v>
      </c>
      <c r="Q15" s="195">
        <f t="shared" si="2"/>
        <v>-0.7029411764705882</v>
      </c>
      <c r="R15" s="195">
        <f t="shared" si="3"/>
        <v>-0.5080213903743316</v>
      </c>
      <c r="S15" s="195">
        <f t="shared" si="4"/>
        <v>-0.835031847133758</v>
      </c>
      <c r="T15" s="195">
        <f t="shared" si="5"/>
        <v>-0.36355685131195337</v>
      </c>
      <c r="U15" s="195">
        <f t="shared" si="6"/>
        <v>-0.13271604938271608</v>
      </c>
      <c r="V15" s="195">
        <f t="shared" si="7"/>
        <v>-0.08966216216216216</v>
      </c>
      <c r="W15" s="195">
        <f t="shared" si="8"/>
        <v>0.07712264150943393</v>
      </c>
      <c r="X15" s="195">
        <f t="shared" si="9"/>
        <v>-0.12023411371237458</v>
      </c>
    </row>
    <row r="16" spans="2:24" ht="12.75">
      <c r="B16" s="74" t="s">
        <v>3</v>
      </c>
      <c r="C16" s="73">
        <v>3421</v>
      </c>
      <c r="D16" s="73">
        <v>447</v>
      </c>
      <c r="E16" s="73">
        <v>3493</v>
      </c>
      <c r="F16" s="73">
        <v>1981</v>
      </c>
      <c r="G16" s="73">
        <v>4589</v>
      </c>
      <c r="H16" s="73">
        <v>8958</v>
      </c>
      <c r="I16" s="73">
        <v>16756</v>
      </c>
      <c r="J16" s="73">
        <v>3767</v>
      </c>
      <c r="K16" s="73">
        <v>6672</v>
      </c>
      <c r="L16" s="73"/>
      <c r="M16" s="73"/>
      <c r="N16" s="53"/>
      <c r="P16" s="195">
        <f t="shared" si="1"/>
        <v>0.14185580774365825</v>
      </c>
      <c r="Q16" s="195">
        <f t="shared" si="2"/>
        <v>-0.2623762376237624</v>
      </c>
      <c r="R16" s="195">
        <f t="shared" si="3"/>
        <v>0.26557971014492754</v>
      </c>
      <c r="S16" s="195">
        <f t="shared" si="4"/>
        <v>6.648648648648648</v>
      </c>
      <c r="T16" s="195">
        <f t="shared" si="5"/>
        <v>1.102153000458085</v>
      </c>
      <c r="U16" s="195">
        <f t="shared" si="6"/>
        <v>0.2751601423487544</v>
      </c>
      <c r="V16" s="195">
        <f t="shared" si="7"/>
        <v>0.2436725302456766</v>
      </c>
      <c r="W16" s="195">
        <f t="shared" si="8"/>
        <v>-0.17516969564265383</v>
      </c>
      <c r="X16" s="195">
        <f t="shared" si="9"/>
        <v>-0.36590001900779323</v>
      </c>
    </row>
    <row r="17" spans="2:24" ht="12.75">
      <c r="B17" s="74" t="s">
        <v>2</v>
      </c>
      <c r="C17" s="73">
        <v>3208</v>
      </c>
      <c r="D17" s="73">
        <v>1493</v>
      </c>
      <c r="E17" s="73">
        <v>3750</v>
      </c>
      <c r="F17" s="73">
        <v>887</v>
      </c>
      <c r="G17" s="73">
        <v>4584</v>
      </c>
      <c r="H17" s="73">
        <v>9385</v>
      </c>
      <c r="I17" s="73">
        <v>17757</v>
      </c>
      <c r="J17" s="73">
        <v>3839</v>
      </c>
      <c r="K17" s="73">
        <v>8063</v>
      </c>
      <c r="L17" s="73"/>
      <c r="M17" s="73"/>
      <c r="N17" s="53"/>
      <c r="P17" s="195">
        <f t="shared" si="1"/>
        <v>-0.062262496346097596</v>
      </c>
      <c r="Q17" s="195">
        <f t="shared" si="2"/>
        <v>2.3400447427293063</v>
      </c>
      <c r="R17" s="195">
        <f t="shared" si="3"/>
        <v>0.07357572287432013</v>
      </c>
      <c r="S17" s="195">
        <f t="shared" si="4"/>
        <v>-0.552246340232206</v>
      </c>
      <c r="T17" s="195">
        <f t="shared" si="5"/>
        <v>-0.0010895619960775704</v>
      </c>
      <c r="U17" s="195">
        <f t="shared" si="6"/>
        <v>0.04766688993078816</v>
      </c>
      <c r="V17" s="195">
        <f t="shared" si="7"/>
        <v>0.05973979470040591</v>
      </c>
      <c r="W17" s="195">
        <f t="shared" si="8"/>
        <v>0.019113352800637085</v>
      </c>
      <c r="X17" s="195">
        <f t="shared" si="9"/>
        <v>0.2084832134292567</v>
      </c>
    </row>
    <row r="18" spans="2:25" ht="12.75">
      <c r="B18" s="74" t="s">
        <v>122</v>
      </c>
      <c r="C18" s="73">
        <v>1865</v>
      </c>
      <c r="D18" s="73">
        <v>1421</v>
      </c>
      <c r="E18" s="73">
        <v>3607</v>
      </c>
      <c r="F18" s="73">
        <v>1681</v>
      </c>
      <c r="G18" s="73">
        <v>2080</v>
      </c>
      <c r="H18" s="73">
        <v>5998</v>
      </c>
      <c r="I18" s="73">
        <v>10383</v>
      </c>
      <c r="J18" s="73">
        <v>3393</v>
      </c>
      <c r="K18" s="73">
        <v>10419</v>
      </c>
      <c r="L18" s="73">
        <v>687</v>
      </c>
      <c r="M18" s="73"/>
      <c r="N18" s="53"/>
      <c r="P18" s="195">
        <f t="shared" si="1"/>
        <v>-0.418640897755611</v>
      </c>
      <c r="Q18" s="195">
        <f t="shared" si="2"/>
        <v>-0.04822505023442736</v>
      </c>
      <c r="R18" s="195">
        <f t="shared" si="3"/>
        <v>-0.03813333333333335</v>
      </c>
      <c r="S18" s="195">
        <f t="shared" si="4"/>
        <v>0.895152198421646</v>
      </c>
      <c r="T18" s="195">
        <f t="shared" si="5"/>
        <v>-0.5462478184991274</v>
      </c>
      <c r="U18" s="195">
        <f t="shared" si="6"/>
        <v>-0.36089504528502925</v>
      </c>
      <c r="V18" s="195">
        <f t="shared" si="7"/>
        <v>-0.4152728501436054</v>
      </c>
      <c r="W18" s="195">
        <f t="shared" si="8"/>
        <v>-0.1161760875227924</v>
      </c>
      <c r="X18" s="195">
        <f t="shared" si="9"/>
        <v>0.292198933399479</v>
      </c>
      <c r="Y18" s="195"/>
    </row>
    <row r="19" spans="2:24" ht="12.75">
      <c r="B19" s="74" t="s">
        <v>131</v>
      </c>
      <c r="C19" s="73">
        <v>2546</v>
      </c>
      <c r="D19" s="73">
        <v>1103</v>
      </c>
      <c r="E19" s="73">
        <v>5104</v>
      </c>
      <c r="F19" s="73">
        <v>942</v>
      </c>
      <c r="G19" s="73">
        <v>3017</v>
      </c>
      <c r="H19" s="73">
        <v>8372</v>
      </c>
      <c r="I19" s="73">
        <v>14459</v>
      </c>
      <c r="J19" s="73">
        <v>3334</v>
      </c>
      <c r="K19" s="73">
        <v>10012</v>
      </c>
      <c r="L19" s="73">
        <v>687</v>
      </c>
      <c r="M19" s="73"/>
      <c r="N19" s="53"/>
      <c r="P19" s="195">
        <f t="shared" si="1"/>
        <v>0.36514745308311003</v>
      </c>
      <c r="Q19" s="195">
        <f t="shared" si="2"/>
        <v>-0.22378606615059815</v>
      </c>
      <c r="R19" s="195">
        <f t="shared" si="3"/>
        <v>0.4150263376767396</v>
      </c>
      <c r="S19" s="195">
        <f t="shared" si="4"/>
        <v>-0.4396192742415229</v>
      </c>
      <c r="T19" s="195">
        <f t="shared" si="5"/>
        <v>0.4504807692307693</v>
      </c>
      <c r="U19" s="195">
        <f t="shared" si="6"/>
        <v>0.39579859953317764</v>
      </c>
      <c r="V19" s="195">
        <f t="shared" si="7"/>
        <v>0.39256476933448914</v>
      </c>
      <c r="W19" s="195">
        <f t="shared" si="8"/>
        <v>-0.01738874152667258</v>
      </c>
      <c r="X19" s="195">
        <f t="shared" si="9"/>
        <v>-0.03906324983203757</v>
      </c>
    </row>
    <row r="20" spans="2:24" ht="12.75">
      <c r="B20" s="74" t="s">
        <v>146</v>
      </c>
      <c r="C20" s="73">
        <v>2197</v>
      </c>
      <c r="D20" s="73">
        <v>1480</v>
      </c>
      <c r="E20" s="73">
        <v>3299</v>
      </c>
      <c r="F20" s="73">
        <v>1394</v>
      </c>
      <c r="G20" s="73">
        <v>3557</v>
      </c>
      <c r="H20" s="73">
        <v>8532</v>
      </c>
      <c r="I20" s="73">
        <v>13054</v>
      </c>
      <c r="J20" s="73">
        <v>4007</v>
      </c>
      <c r="K20" s="73">
        <v>10758</v>
      </c>
      <c r="L20" s="73">
        <v>687</v>
      </c>
      <c r="M20" s="73"/>
      <c r="P20" s="195">
        <f t="shared" si="1"/>
        <v>-0.13707776904948943</v>
      </c>
      <c r="Q20" s="195">
        <f t="shared" si="2"/>
        <v>0.34179510426110604</v>
      </c>
      <c r="R20" s="195">
        <f t="shared" si="3"/>
        <v>-0.3536442006269592</v>
      </c>
      <c r="S20" s="195">
        <f t="shared" si="4"/>
        <v>0.47983014861995743</v>
      </c>
      <c r="T20" s="195">
        <f t="shared" si="5"/>
        <v>0.17898574743122309</v>
      </c>
      <c r="U20" s="195">
        <f t="shared" si="6"/>
        <v>0.019111323459149565</v>
      </c>
      <c r="V20" s="195">
        <f t="shared" si="7"/>
        <v>-0.09717131198561446</v>
      </c>
      <c r="W20" s="195">
        <f t="shared" si="8"/>
        <v>0.20185962807438518</v>
      </c>
      <c r="X20" s="195">
        <f t="shared" si="9"/>
        <v>0.07451058729524562</v>
      </c>
    </row>
    <row r="21" spans="2:24" ht="12.75">
      <c r="B21" s="74" t="s">
        <v>179</v>
      </c>
      <c r="C21" s="73">
        <v>1874.8517657009927</v>
      </c>
      <c r="D21" s="73">
        <v>1451.319986235742</v>
      </c>
      <c r="E21" s="73">
        <v>4939.809486900715</v>
      </c>
      <c r="F21" s="73">
        <v>2047.895051547505</v>
      </c>
      <c r="G21" s="73">
        <v>3593.539657032328</v>
      </c>
      <c r="H21" s="73">
        <v>8685.459966446108</v>
      </c>
      <c r="I21" s="73">
        <v>16788.425585779605</v>
      </c>
      <c r="J21" s="73">
        <v>3490.6066401256444</v>
      </c>
      <c r="K21" s="73">
        <v>6967.429827640695</v>
      </c>
      <c r="L21" s="73">
        <v>687</v>
      </c>
      <c r="M21" s="73"/>
      <c r="P21" s="195">
        <f t="shared" si="1"/>
        <v>-0.14663096690897015</v>
      </c>
      <c r="Q21" s="195">
        <f t="shared" si="2"/>
        <v>-0.01937838767855271</v>
      </c>
      <c r="R21" s="195">
        <f t="shared" si="3"/>
        <v>0.4973657129132205</v>
      </c>
      <c r="S21" s="195">
        <f t="shared" si="4"/>
        <v>0.469078229230635</v>
      </c>
      <c r="T21" s="195">
        <f t="shared" si="5"/>
        <v>0.010272605294441295</v>
      </c>
      <c r="U21" s="195">
        <f t="shared" si="6"/>
        <v>0.017986400192933294</v>
      </c>
      <c r="V21" s="195">
        <f t="shared" si="7"/>
        <v>0.28607519425307215</v>
      </c>
      <c r="W21" s="195">
        <f t="shared" si="8"/>
        <v>-0.1288728125466323</v>
      </c>
      <c r="X21" s="195">
        <f t="shared" si="9"/>
        <v>-0.352348965640389</v>
      </c>
    </row>
    <row r="22" spans="2:24" ht="12.75">
      <c r="B22" s="74" t="s">
        <v>199</v>
      </c>
      <c r="C22" s="73">
        <v>2244</v>
      </c>
      <c r="D22" s="73">
        <v>776</v>
      </c>
      <c r="E22" s="73">
        <v>4449</v>
      </c>
      <c r="F22" s="73">
        <v>2251</v>
      </c>
      <c r="G22" s="73">
        <v>5243</v>
      </c>
      <c r="H22" s="73">
        <v>8946</v>
      </c>
      <c r="I22" s="73">
        <v>14976</v>
      </c>
      <c r="J22" s="73">
        <v>3369</v>
      </c>
      <c r="K22" s="73">
        <v>10544</v>
      </c>
      <c r="L22" s="73">
        <v>687</v>
      </c>
      <c r="M22" s="73"/>
      <c r="P22" s="195">
        <f>+C22/C21-1</f>
        <v>0.19689462444567485</v>
      </c>
      <c r="Q22" s="195">
        <f>+D22/D21-1</f>
        <v>-0.4653143294658989</v>
      </c>
      <c r="R22" s="195">
        <f>+E22/E21-1</f>
        <v>-0.0993579789265625</v>
      </c>
      <c r="S22" s="195">
        <f>+F22/F21-1</f>
        <v>0.09917742039516009</v>
      </c>
      <c r="T22" s="195">
        <f>+G22/G21-1</f>
        <v>0.4590071351347922</v>
      </c>
      <c r="U22" s="195">
        <f>+H22/H21-1</f>
        <v>0.0299972637673096</v>
      </c>
      <c r="V22" s="195">
        <f>+I22/I21-1</f>
        <v>-0.10795685256601995</v>
      </c>
      <c r="W22" s="195">
        <f>+J22/J21-1</f>
        <v>-0.03483825382319994</v>
      </c>
      <c r="X22" s="195">
        <f>+K22/K21-1</f>
        <v>0.5133270461039432</v>
      </c>
    </row>
    <row r="23" spans="2:14" ht="38.25" customHeight="1">
      <c r="B23" s="375" t="s">
        <v>259</v>
      </c>
      <c r="C23" s="376"/>
      <c r="D23" s="376"/>
      <c r="E23" s="376"/>
      <c r="F23" s="376"/>
      <c r="G23" s="376"/>
      <c r="H23" s="376"/>
      <c r="I23" s="376"/>
      <c r="J23" s="376"/>
      <c r="K23" s="376"/>
      <c r="L23" s="376"/>
      <c r="M23" s="73"/>
      <c r="N23" s="53"/>
    </row>
    <row r="24" ht="12.75">
      <c r="P24" s="166" t="s">
        <v>272</v>
      </c>
    </row>
    <row r="25" spans="13:25" ht="12.75">
      <c r="M25" s="298"/>
      <c r="P25" s="317" t="e">
        <f>+#REF!/SUM(#REF!)</f>
        <v>#REF!</v>
      </c>
      <c r="Q25" s="317" t="e">
        <f>+#REF!/SUM(#REF!)</f>
        <v>#REF!</v>
      </c>
      <c r="R25" s="317" t="e">
        <f>+#REF!/SUM(#REF!)</f>
        <v>#REF!</v>
      </c>
      <c r="S25" s="317" t="e">
        <f>+#REF!/SUM(#REF!)</f>
        <v>#REF!</v>
      </c>
      <c r="T25" s="317" t="e">
        <f>+#REF!/SUM(#REF!)</f>
        <v>#REF!</v>
      </c>
      <c r="U25" s="327" t="e">
        <f>+#REF!/SUM(#REF!)</f>
        <v>#REF!</v>
      </c>
      <c r="V25" s="327" t="e">
        <f>+#REF!/SUM(#REF!)</f>
        <v>#REF!</v>
      </c>
      <c r="W25" s="327" t="e">
        <f>+#REF!/SUM(#REF!)</f>
        <v>#REF!</v>
      </c>
      <c r="X25" s="327" t="e">
        <f>+#REF!/SUM(#REF!)</f>
        <v>#REF!</v>
      </c>
      <c r="Y25" s="317" t="e">
        <f>+#REF!/SUM(#REF!)</f>
        <v>#REF!</v>
      </c>
    </row>
    <row r="26" spans="2:13" ht="12.75">
      <c r="B26" s="174"/>
      <c r="C26" s="172"/>
      <c r="D26" s="172"/>
      <c r="E26" s="172"/>
      <c r="F26" s="172"/>
      <c r="G26" s="172"/>
      <c r="H26" s="172"/>
      <c r="I26" s="172"/>
      <c r="J26" s="172"/>
      <c r="K26" s="172"/>
      <c r="L26" s="172"/>
      <c r="M26" s="295"/>
    </row>
    <row r="27" spans="2:23" ht="12.75">
      <c r="B27" s="174"/>
      <c r="C27" s="172"/>
      <c r="D27" s="172"/>
      <c r="E27" s="172"/>
      <c r="F27" s="172"/>
      <c r="G27" s="172"/>
      <c r="H27" s="172"/>
      <c r="I27" s="172"/>
      <c r="J27" s="172"/>
      <c r="K27" s="172"/>
      <c r="L27" s="172"/>
      <c r="M27" s="295"/>
      <c r="W27" s="328" t="e">
        <f>+SUM(#REF!)/SUM(#REF!)</f>
        <v>#REF!</v>
      </c>
    </row>
    <row r="28" spans="2:13" ht="12.75">
      <c r="B28" s="174"/>
      <c r="C28" s="172"/>
      <c r="D28" s="172"/>
      <c r="E28" s="172"/>
      <c r="F28" s="172"/>
      <c r="G28" s="172"/>
      <c r="H28" s="172"/>
      <c r="I28" s="172"/>
      <c r="J28" s="172"/>
      <c r="K28" s="172"/>
      <c r="L28" s="172"/>
      <c r="M28" s="295"/>
    </row>
    <row r="29" spans="2:13" ht="12.75">
      <c r="B29" s="296"/>
      <c r="C29" s="297"/>
      <c r="D29" s="297"/>
      <c r="E29" s="297"/>
      <c r="F29" s="297"/>
      <c r="G29" s="297"/>
      <c r="H29" s="297"/>
      <c r="I29" s="297"/>
      <c r="J29" s="297"/>
      <c r="K29" s="297"/>
      <c r="L29" s="297"/>
      <c r="M29" s="299"/>
    </row>
    <row r="45" ht="12.75">
      <c r="B45" s="50"/>
    </row>
    <row r="46" ht="12.75">
      <c r="B46" s="303" t="s">
        <v>260</v>
      </c>
    </row>
    <row r="47" spans="3:12" ht="12.75">
      <c r="C47" s="165"/>
      <c r="D47" s="165"/>
      <c r="E47" s="165"/>
      <c r="F47" s="165"/>
      <c r="G47" s="165"/>
      <c r="H47" s="165"/>
      <c r="I47" s="165"/>
      <c r="J47" s="165"/>
      <c r="K47" s="165"/>
      <c r="L47" s="165"/>
    </row>
    <row r="49" spans="3:13" ht="12.75">
      <c r="C49" s="143"/>
      <c r="D49" s="143"/>
      <c r="E49" s="143"/>
      <c r="F49" s="143"/>
      <c r="G49" s="143"/>
      <c r="H49" s="143"/>
      <c r="I49" s="143"/>
      <c r="J49" s="143"/>
      <c r="K49" s="143"/>
      <c r="L49" s="143"/>
      <c r="M49" s="143"/>
    </row>
    <row r="50" spans="3:15" s="166" customFormat="1" ht="12.75" hidden="1">
      <c r="C50" s="195" t="e">
        <f>+#REF!/SUM(#REF!)</f>
        <v>#REF!</v>
      </c>
      <c r="D50" s="195" t="e">
        <f>+#REF!/SUM(#REF!)</f>
        <v>#REF!</v>
      </c>
      <c r="E50" s="195" t="e">
        <f>+#REF!/SUM(#REF!)</f>
        <v>#REF!</v>
      </c>
      <c r="F50" s="195" t="e">
        <f>+#REF!/SUM(#REF!)</f>
        <v>#REF!</v>
      </c>
      <c r="G50" s="195" t="e">
        <f>+#REF!/SUM(#REF!)</f>
        <v>#REF!</v>
      </c>
      <c r="H50" s="195" t="e">
        <f>+#REF!/SUM(#REF!)</f>
        <v>#REF!</v>
      </c>
      <c r="I50" s="195" t="e">
        <f>+#REF!/SUM(#REF!)</f>
        <v>#REF!</v>
      </c>
      <c r="J50" s="195" t="e">
        <f>+#REF!/SUM(#REF!)</f>
        <v>#REF!</v>
      </c>
      <c r="K50" s="195" t="e">
        <f>+#REF!/SUM(#REF!)</f>
        <v>#REF!</v>
      </c>
      <c r="L50" s="195" t="e">
        <f>+#REF!/SUM(#REF!)</f>
        <v>#REF!</v>
      </c>
      <c r="M50" s="195"/>
      <c r="O50" s="174"/>
    </row>
    <row r="51" s="166" customFormat="1" ht="12.75" hidden="1">
      <c r="O51" s="174"/>
    </row>
    <row r="52" spans="3:15" s="166" customFormat="1" ht="12.75" hidden="1">
      <c r="C52" s="195" t="e">
        <f>+#REF!/C21-1</f>
        <v>#REF!</v>
      </c>
      <c r="D52" s="195" t="e">
        <f>+#REF!/D21-1</f>
        <v>#REF!</v>
      </c>
      <c r="E52" s="195" t="e">
        <f>+#REF!/E21-1</f>
        <v>#REF!</v>
      </c>
      <c r="F52" s="195" t="e">
        <f>+#REF!/F21-1</f>
        <v>#REF!</v>
      </c>
      <c r="G52" s="195" t="e">
        <f>+#REF!/G21-1</f>
        <v>#REF!</v>
      </c>
      <c r="H52" s="195" t="e">
        <f>+#REF!/H21-1</f>
        <v>#REF!</v>
      </c>
      <c r="I52" s="195" t="e">
        <f>+#REF!/I21-1</f>
        <v>#REF!</v>
      </c>
      <c r="J52" s="195" t="e">
        <f>+#REF!/J21-1</f>
        <v>#REF!</v>
      </c>
      <c r="K52" s="195" t="e">
        <f>+#REF!/K21-1</f>
        <v>#REF!</v>
      </c>
      <c r="L52" s="195" t="e">
        <f>+#REF!/L21-1</f>
        <v>#REF!</v>
      </c>
      <c r="O52" s="174"/>
    </row>
  </sheetData>
  <sheetProtection/>
  <mergeCells count="5">
    <mergeCell ref="B6:B7"/>
    <mergeCell ref="B2:L2"/>
    <mergeCell ref="B3:L3"/>
    <mergeCell ref="B4:L4"/>
    <mergeCell ref="B23:L23"/>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X51"/>
  <sheetViews>
    <sheetView zoomScale="80" zoomScaleNormal="80" zoomScalePageLayoutView="40" workbookViewId="0" topLeftCell="A1">
      <selection activeCell="A1" sqref="A1"/>
    </sheetView>
  </sheetViews>
  <sheetFormatPr defaultColWidth="10.8515625" defaultRowHeight="15"/>
  <cols>
    <col min="1" max="1" width="1.421875" style="20" customWidth="1"/>
    <col min="2" max="2" width="10.8515625" style="20" customWidth="1"/>
    <col min="3" max="4" width="11.7109375" style="20" customWidth="1"/>
    <col min="5" max="5" width="14.57421875" style="20" customWidth="1"/>
    <col min="6" max="6" width="10.8515625" style="20" customWidth="1"/>
    <col min="7" max="7" width="11.8515625" style="20" customWidth="1"/>
    <col min="8" max="8" width="12.421875" style="20" customWidth="1"/>
    <col min="9" max="9" width="13.421875" style="20" customWidth="1"/>
    <col min="10" max="10" width="10.8515625" style="20" customWidth="1"/>
    <col min="11" max="11" width="11.57421875" style="20" customWidth="1"/>
    <col min="12" max="12" width="10.8515625" style="20" customWidth="1"/>
    <col min="13" max="13" width="2.00390625" style="20" customWidth="1"/>
    <col min="14" max="14" width="12.7109375" style="20" bestFit="1" customWidth="1"/>
    <col min="15" max="15" width="10.8515625" style="174" customWidth="1"/>
    <col min="16" max="24" width="10.8515625" style="166" hidden="1" customWidth="1"/>
    <col min="25" max="25" width="10.8515625" style="174" customWidth="1"/>
    <col min="26" max="16384" width="10.8515625" style="20" customWidth="1"/>
  </cols>
  <sheetData>
    <row r="1" ht="6.75" customHeight="1"/>
    <row r="2" spans="2:14" ht="12.75">
      <c r="B2" s="379" t="s">
        <v>66</v>
      </c>
      <c r="C2" s="379"/>
      <c r="D2" s="379"/>
      <c r="E2" s="379"/>
      <c r="F2" s="379"/>
      <c r="G2" s="379"/>
      <c r="H2" s="379"/>
      <c r="I2" s="379"/>
      <c r="J2" s="379"/>
      <c r="K2" s="379"/>
      <c r="L2" s="379"/>
      <c r="M2" s="286"/>
      <c r="N2" s="48" t="s">
        <v>152</v>
      </c>
    </row>
    <row r="3" spans="2:13" ht="14.25" customHeight="1">
      <c r="B3" s="379" t="s">
        <v>48</v>
      </c>
      <c r="C3" s="379"/>
      <c r="D3" s="379"/>
      <c r="E3" s="379"/>
      <c r="F3" s="379"/>
      <c r="G3" s="379"/>
      <c r="H3" s="379"/>
      <c r="I3" s="379"/>
      <c r="J3" s="379"/>
      <c r="K3" s="379"/>
      <c r="L3" s="379"/>
      <c r="M3" s="286"/>
    </row>
    <row r="4" spans="2:13" ht="12.75">
      <c r="B4" s="379" t="s">
        <v>28</v>
      </c>
      <c r="C4" s="379"/>
      <c r="D4" s="379"/>
      <c r="E4" s="379"/>
      <c r="F4" s="379"/>
      <c r="G4" s="379"/>
      <c r="H4" s="379"/>
      <c r="I4" s="379"/>
      <c r="J4" s="379"/>
      <c r="K4" s="379"/>
      <c r="L4" s="379"/>
      <c r="M4" s="286"/>
    </row>
    <row r="5" spans="2:12" ht="12.75">
      <c r="B5" s="128"/>
      <c r="C5" s="128"/>
      <c r="D5" s="128"/>
      <c r="E5" s="128"/>
      <c r="F5" s="128"/>
      <c r="G5" s="128"/>
      <c r="H5" s="128"/>
      <c r="I5" s="128"/>
      <c r="J5" s="129"/>
      <c r="K5" s="128"/>
      <c r="L5" s="130"/>
    </row>
    <row r="6" spans="2:13" ht="12.75">
      <c r="B6" s="377" t="s">
        <v>13</v>
      </c>
      <c r="C6" s="287" t="s">
        <v>24</v>
      </c>
      <c r="D6" s="287" t="s">
        <v>24</v>
      </c>
      <c r="E6" s="287" t="s">
        <v>26</v>
      </c>
      <c r="F6" s="287" t="s">
        <v>24</v>
      </c>
      <c r="G6" s="287" t="s">
        <v>25</v>
      </c>
      <c r="H6" s="287" t="s">
        <v>25</v>
      </c>
      <c r="I6" s="287" t="s">
        <v>24</v>
      </c>
      <c r="J6" s="287" t="s">
        <v>24</v>
      </c>
      <c r="K6" s="287" t="s">
        <v>24</v>
      </c>
      <c r="L6" s="287" t="s">
        <v>158</v>
      </c>
      <c r="M6" s="1"/>
    </row>
    <row r="7" spans="2:24" ht="12.75">
      <c r="B7" s="378"/>
      <c r="C7" s="288" t="s">
        <v>23</v>
      </c>
      <c r="D7" s="288" t="s">
        <v>22</v>
      </c>
      <c r="E7" s="288" t="s">
        <v>21</v>
      </c>
      <c r="F7" s="288" t="s">
        <v>20</v>
      </c>
      <c r="G7" s="288" t="s">
        <v>19</v>
      </c>
      <c r="H7" s="288" t="s">
        <v>18</v>
      </c>
      <c r="I7" s="288" t="s">
        <v>17</v>
      </c>
      <c r="J7" s="288" t="s">
        <v>16</v>
      </c>
      <c r="K7" s="288" t="s">
        <v>15</v>
      </c>
      <c r="L7" s="288" t="s">
        <v>159</v>
      </c>
      <c r="M7" s="1"/>
      <c r="P7" s="326" t="str">
        <f>+C7</f>
        <v>Coquimbo</v>
      </c>
      <c r="Q7" s="326" t="str">
        <f aca="true" t="shared" si="0" ref="Q7:V7">+D7</f>
        <v>Valparaíso</v>
      </c>
      <c r="R7" s="326" t="str">
        <f t="shared" si="0"/>
        <v>Metropolitana</v>
      </c>
      <c r="S7" s="326" t="str">
        <f t="shared" si="0"/>
        <v>O´Higgins</v>
      </c>
      <c r="T7" s="326" t="str">
        <f t="shared" si="0"/>
        <v>Maule</v>
      </c>
      <c r="U7" s="326" t="str">
        <f t="shared" si="0"/>
        <v>Bío Bío</v>
      </c>
      <c r="V7" s="326" t="str">
        <f t="shared" si="0"/>
        <v>La Araucanía</v>
      </c>
      <c r="W7" s="326" t="str">
        <f>+J7</f>
        <v>Los Ríos</v>
      </c>
      <c r="X7" s="326" t="str">
        <f>+K7</f>
        <v>Los Lagos</v>
      </c>
    </row>
    <row r="8" spans="2:13" ht="12.75">
      <c r="B8" s="131" t="s">
        <v>11</v>
      </c>
      <c r="C8" s="92">
        <v>131241.4</v>
      </c>
      <c r="D8" s="132">
        <v>21402.7</v>
      </c>
      <c r="E8" s="132">
        <v>82529.4</v>
      </c>
      <c r="F8" s="132">
        <v>49669.7</v>
      </c>
      <c r="G8" s="132">
        <v>62218.6</v>
      </c>
      <c r="H8" s="132">
        <v>104593.9</v>
      </c>
      <c r="I8" s="132">
        <v>420346.7</v>
      </c>
      <c r="J8" s="131"/>
      <c r="K8" s="132">
        <v>419319.1</v>
      </c>
      <c r="L8" s="132"/>
      <c r="M8" s="73"/>
    </row>
    <row r="9" spans="2:24" ht="12.75">
      <c r="B9" s="133" t="s">
        <v>10</v>
      </c>
      <c r="C9" s="134">
        <v>110721.3</v>
      </c>
      <c r="D9" s="134">
        <v>14420.5</v>
      </c>
      <c r="E9" s="134">
        <v>63776.2</v>
      </c>
      <c r="F9" s="134">
        <v>57186.7</v>
      </c>
      <c r="G9" s="134">
        <v>57216.7</v>
      </c>
      <c r="H9" s="134">
        <v>113195.2</v>
      </c>
      <c r="I9" s="134">
        <v>297628.6</v>
      </c>
      <c r="J9" s="133"/>
      <c r="K9" s="134">
        <v>367637.1</v>
      </c>
      <c r="L9" s="134"/>
      <c r="M9" s="73"/>
      <c r="P9" s="195">
        <f aca="true" t="shared" si="1" ref="P9:X21">+C9/C8-1</f>
        <v>-0.15635386394841866</v>
      </c>
      <c r="Q9" s="195">
        <f t="shared" si="1"/>
        <v>-0.32622986819419986</v>
      </c>
      <c r="R9" s="195">
        <f t="shared" si="1"/>
        <v>-0.22723053845053998</v>
      </c>
      <c r="S9" s="195">
        <f t="shared" si="1"/>
        <v>0.1513397503910836</v>
      </c>
      <c r="T9" s="195">
        <f t="shared" si="1"/>
        <v>-0.0803923585551588</v>
      </c>
      <c r="U9" s="195">
        <f t="shared" si="1"/>
        <v>0.08223519727249862</v>
      </c>
      <c r="V9" s="195">
        <f t="shared" si="1"/>
        <v>-0.2919449587685594</v>
      </c>
      <c r="W9" s="195" t="e">
        <f t="shared" si="1"/>
        <v>#DIV/0!</v>
      </c>
      <c r="X9" s="195">
        <f t="shared" si="1"/>
        <v>-0.12325219623909334</v>
      </c>
    </row>
    <row r="10" spans="2:24" ht="12.75">
      <c r="B10" s="133" t="s">
        <v>9</v>
      </c>
      <c r="C10" s="134">
        <v>109620</v>
      </c>
      <c r="D10" s="134">
        <v>15000</v>
      </c>
      <c r="E10" s="134">
        <v>63360</v>
      </c>
      <c r="F10" s="134">
        <v>65550</v>
      </c>
      <c r="G10" s="134">
        <v>57190</v>
      </c>
      <c r="H10" s="134">
        <v>128320</v>
      </c>
      <c r="I10" s="134">
        <v>302400</v>
      </c>
      <c r="J10" s="133"/>
      <c r="K10" s="134">
        <v>390784</v>
      </c>
      <c r="L10" s="134"/>
      <c r="M10" s="73"/>
      <c r="P10" s="195">
        <f t="shared" si="1"/>
        <v>-0.009946595641489031</v>
      </c>
      <c r="Q10" s="195">
        <f t="shared" si="1"/>
        <v>0.04018584653791479</v>
      </c>
      <c r="R10" s="195">
        <f t="shared" si="1"/>
        <v>-0.0065259454153743235</v>
      </c>
      <c r="S10" s="195">
        <f t="shared" si="1"/>
        <v>0.14624554310705107</v>
      </c>
      <c r="T10" s="195">
        <f t="shared" si="1"/>
        <v>-0.00046664697544596123</v>
      </c>
      <c r="U10" s="195">
        <f t="shared" si="1"/>
        <v>0.13361697315787247</v>
      </c>
      <c r="V10" s="195">
        <f t="shared" si="1"/>
        <v>0.016031389456524048</v>
      </c>
      <c r="W10" s="195" t="e">
        <f t="shared" si="1"/>
        <v>#DIV/0!</v>
      </c>
      <c r="X10" s="195">
        <f t="shared" si="1"/>
        <v>0.06296127349497649</v>
      </c>
    </row>
    <row r="11" spans="2:24" ht="12.75">
      <c r="B11" s="133" t="s">
        <v>8</v>
      </c>
      <c r="C11" s="134">
        <v>106540.8</v>
      </c>
      <c r="D11" s="134">
        <v>25575</v>
      </c>
      <c r="E11" s="134">
        <v>43227.6</v>
      </c>
      <c r="F11" s="134">
        <v>56512.8</v>
      </c>
      <c r="G11" s="134">
        <v>42448</v>
      </c>
      <c r="H11" s="134">
        <v>127498.3</v>
      </c>
      <c r="I11" s="134">
        <v>321303.4</v>
      </c>
      <c r="J11" s="133"/>
      <c r="K11" s="134">
        <v>380683.8</v>
      </c>
      <c r="L11" s="134"/>
      <c r="M11" s="73"/>
      <c r="P11" s="195">
        <f t="shared" si="1"/>
        <v>-0.028089764641488713</v>
      </c>
      <c r="Q11" s="195">
        <f t="shared" si="1"/>
        <v>0.7050000000000001</v>
      </c>
      <c r="R11" s="195">
        <f t="shared" si="1"/>
        <v>-0.3177462121212121</v>
      </c>
      <c r="S11" s="195">
        <f t="shared" si="1"/>
        <v>-0.13786727688787181</v>
      </c>
      <c r="T11" s="195">
        <f t="shared" si="1"/>
        <v>-0.2577723378212974</v>
      </c>
      <c r="U11" s="195">
        <f t="shared" si="1"/>
        <v>-0.006403522443890197</v>
      </c>
      <c r="V11" s="195">
        <f t="shared" si="1"/>
        <v>0.06251124338624336</v>
      </c>
      <c r="W11" s="195" t="e">
        <f t="shared" si="1"/>
        <v>#DIV/0!</v>
      </c>
      <c r="X11" s="195">
        <f t="shared" si="1"/>
        <v>-0.02584599164755985</v>
      </c>
    </row>
    <row r="12" spans="2:24" ht="12.75">
      <c r="B12" s="133" t="s">
        <v>7</v>
      </c>
      <c r="C12" s="134">
        <v>120464.5</v>
      </c>
      <c r="D12" s="134">
        <v>31322.5</v>
      </c>
      <c r="E12" s="134">
        <v>59440</v>
      </c>
      <c r="F12" s="134">
        <v>44261.8</v>
      </c>
      <c r="G12" s="134">
        <v>63355.6</v>
      </c>
      <c r="H12" s="134">
        <v>131670</v>
      </c>
      <c r="I12" s="134">
        <v>446083.8</v>
      </c>
      <c r="J12" s="133"/>
      <c r="K12" s="134">
        <v>482834</v>
      </c>
      <c r="L12" s="134"/>
      <c r="M12" s="73"/>
      <c r="P12" s="195">
        <f t="shared" si="1"/>
        <v>0.13068890040247494</v>
      </c>
      <c r="Q12" s="195">
        <f t="shared" si="1"/>
        <v>0.22473118279569881</v>
      </c>
      <c r="R12" s="195">
        <f t="shared" si="1"/>
        <v>0.37504742340541686</v>
      </c>
      <c r="S12" s="195">
        <f t="shared" si="1"/>
        <v>-0.2167827465636104</v>
      </c>
      <c r="T12" s="195">
        <f t="shared" si="1"/>
        <v>0.49254617414248014</v>
      </c>
      <c r="U12" s="195">
        <f t="shared" si="1"/>
        <v>0.0327196519483004</v>
      </c>
      <c r="V12" s="195">
        <f t="shared" si="1"/>
        <v>0.3883569237051334</v>
      </c>
      <c r="W12" s="195" t="e">
        <f t="shared" si="1"/>
        <v>#DIV/0!</v>
      </c>
      <c r="X12" s="195">
        <f t="shared" si="1"/>
        <v>0.26833345679537723</v>
      </c>
    </row>
    <row r="13" spans="2:24" ht="12.75">
      <c r="B13" s="133" t="s">
        <v>6</v>
      </c>
      <c r="C13" s="134">
        <v>56405.8</v>
      </c>
      <c r="D13" s="134">
        <v>20394.8</v>
      </c>
      <c r="E13" s="134">
        <v>87051.9</v>
      </c>
      <c r="F13" s="134">
        <v>22726.8</v>
      </c>
      <c r="G13" s="134">
        <v>44973.2</v>
      </c>
      <c r="H13" s="134">
        <v>97715.5</v>
      </c>
      <c r="I13" s="134">
        <v>212544.8</v>
      </c>
      <c r="J13" s="134">
        <v>72423.3</v>
      </c>
      <c r="K13" s="134">
        <v>213984.4</v>
      </c>
      <c r="L13" s="134"/>
      <c r="M13" s="73"/>
      <c r="P13" s="195">
        <f t="shared" si="1"/>
        <v>-0.5317641296813584</v>
      </c>
      <c r="Q13" s="195">
        <f t="shared" si="1"/>
        <v>-0.3488770053475936</v>
      </c>
      <c r="R13" s="195">
        <f t="shared" si="1"/>
        <v>0.4645339838492597</v>
      </c>
      <c r="S13" s="195">
        <f t="shared" si="1"/>
        <v>-0.4865369234870701</v>
      </c>
      <c r="T13" s="195">
        <f t="shared" si="1"/>
        <v>-0.29014641168262956</v>
      </c>
      <c r="U13" s="195">
        <f t="shared" si="1"/>
        <v>-0.25787574998101315</v>
      </c>
      <c r="V13" s="195">
        <f t="shared" si="1"/>
        <v>-0.523531677231946</v>
      </c>
      <c r="W13" s="195" t="e">
        <f t="shared" si="1"/>
        <v>#DIV/0!</v>
      </c>
      <c r="X13" s="195">
        <f t="shared" si="1"/>
        <v>-0.5568158000472212</v>
      </c>
    </row>
    <row r="14" spans="2:24" ht="12.75">
      <c r="B14" s="133" t="s">
        <v>5</v>
      </c>
      <c r="C14" s="134">
        <v>66880</v>
      </c>
      <c r="D14" s="134">
        <v>27744</v>
      </c>
      <c r="E14" s="134">
        <v>86001.3</v>
      </c>
      <c r="F14" s="134">
        <v>26690</v>
      </c>
      <c r="G14" s="134">
        <v>58550.1</v>
      </c>
      <c r="H14" s="134">
        <v>135270</v>
      </c>
      <c r="I14" s="134">
        <v>220224</v>
      </c>
      <c r="J14" s="134">
        <v>86623.2</v>
      </c>
      <c r="K14" s="134">
        <v>251518.8</v>
      </c>
      <c r="L14" s="134"/>
      <c r="M14" s="73"/>
      <c r="P14" s="195">
        <f t="shared" si="1"/>
        <v>0.18569366979991409</v>
      </c>
      <c r="Q14" s="195">
        <f t="shared" si="1"/>
        <v>0.3603467550552102</v>
      </c>
      <c r="R14" s="195">
        <f t="shared" si="1"/>
        <v>-0.012068662487550452</v>
      </c>
      <c r="S14" s="195">
        <f t="shared" si="1"/>
        <v>0.1743844271960857</v>
      </c>
      <c r="T14" s="195">
        <f t="shared" si="1"/>
        <v>0.30188868036964234</v>
      </c>
      <c r="U14" s="195">
        <f t="shared" si="1"/>
        <v>0.3843249023952189</v>
      </c>
      <c r="V14" s="195">
        <f t="shared" si="1"/>
        <v>0.036129794753859024</v>
      </c>
      <c r="W14" s="195">
        <f t="shared" si="1"/>
        <v>0.19606811620017317</v>
      </c>
      <c r="X14" s="195">
        <f t="shared" si="1"/>
        <v>0.17540717921493343</v>
      </c>
    </row>
    <row r="15" spans="2:24" ht="12.75">
      <c r="B15" s="133" t="s">
        <v>4</v>
      </c>
      <c r="C15" s="134">
        <v>51591.1</v>
      </c>
      <c r="D15" s="134">
        <v>8350.7</v>
      </c>
      <c r="E15" s="134">
        <v>53081.5</v>
      </c>
      <c r="F15" s="134">
        <v>3752.9</v>
      </c>
      <c r="G15" s="134">
        <v>31915.5</v>
      </c>
      <c r="H15" s="134">
        <v>109800.8</v>
      </c>
      <c r="I15" s="134">
        <v>265552.8</v>
      </c>
      <c r="J15" s="134">
        <v>121619.2</v>
      </c>
      <c r="K15" s="134">
        <v>272625</v>
      </c>
      <c r="L15" s="134"/>
      <c r="M15" s="73"/>
      <c r="P15" s="195">
        <f t="shared" si="1"/>
        <v>-0.22860197368421054</v>
      </c>
      <c r="Q15" s="195">
        <f t="shared" si="1"/>
        <v>-0.6990087946943483</v>
      </c>
      <c r="R15" s="195">
        <f t="shared" si="1"/>
        <v>-0.38278258584463265</v>
      </c>
      <c r="S15" s="195">
        <f t="shared" si="1"/>
        <v>-0.8593892843761708</v>
      </c>
      <c r="T15" s="195">
        <f t="shared" si="1"/>
        <v>-0.4549027243335195</v>
      </c>
      <c r="U15" s="195">
        <f t="shared" si="1"/>
        <v>-0.18828417239594886</v>
      </c>
      <c r="V15" s="195">
        <f t="shared" si="1"/>
        <v>0.20583042720139488</v>
      </c>
      <c r="W15" s="195">
        <f t="shared" si="1"/>
        <v>0.40400262285392374</v>
      </c>
      <c r="X15" s="195">
        <f t="shared" si="1"/>
        <v>0.08391499959446369</v>
      </c>
    </row>
    <row r="16" spans="2:24" ht="15" customHeight="1">
      <c r="B16" s="133" t="s">
        <v>3</v>
      </c>
      <c r="C16" s="134">
        <v>78466.3</v>
      </c>
      <c r="D16" s="134">
        <v>11764.2</v>
      </c>
      <c r="E16" s="134">
        <v>86174.8</v>
      </c>
      <c r="F16" s="134">
        <v>38358</v>
      </c>
      <c r="G16" s="134">
        <v>57455.5</v>
      </c>
      <c r="H16" s="134">
        <v>165633.4</v>
      </c>
      <c r="I16" s="134">
        <v>315519.2</v>
      </c>
      <c r="J16" s="134">
        <v>124687.7</v>
      </c>
      <c r="K16" s="134">
        <v>197024.2</v>
      </c>
      <c r="L16" s="134"/>
      <c r="M16" s="73"/>
      <c r="P16" s="195">
        <f t="shared" si="1"/>
        <v>0.520927059124539</v>
      </c>
      <c r="Q16" s="195">
        <f t="shared" si="1"/>
        <v>0.4087681272228676</v>
      </c>
      <c r="R16" s="195">
        <f t="shared" si="1"/>
        <v>0.6234431958403588</v>
      </c>
      <c r="S16" s="195">
        <f t="shared" si="1"/>
        <v>9.220895840549975</v>
      </c>
      <c r="T16" s="195">
        <f t="shared" si="1"/>
        <v>0.800238128808886</v>
      </c>
      <c r="U16" s="195">
        <f t="shared" si="1"/>
        <v>0.5084899199277235</v>
      </c>
      <c r="V16" s="195">
        <f t="shared" si="1"/>
        <v>0.1881599440864492</v>
      </c>
      <c r="W16" s="195">
        <f t="shared" si="1"/>
        <v>0.025230391254012607</v>
      </c>
      <c r="X16" s="195">
        <f t="shared" si="1"/>
        <v>-0.2773069234296194</v>
      </c>
    </row>
    <row r="17" spans="2:24" ht="12.75">
      <c r="B17" s="133" t="s">
        <v>2</v>
      </c>
      <c r="C17" s="134">
        <v>75516</v>
      </c>
      <c r="D17" s="134">
        <v>31084</v>
      </c>
      <c r="E17" s="134">
        <v>79125</v>
      </c>
      <c r="F17" s="134">
        <v>15805</v>
      </c>
      <c r="G17" s="134">
        <v>111620</v>
      </c>
      <c r="H17" s="134">
        <v>255835</v>
      </c>
      <c r="I17" s="134">
        <v>615990</v>
      </c>
      <c r="J17" s="134">
        <v>142120</v>
      </c>
      <c r="K17" s="134">
        <v>343081</v>
      </c>
      <c r="L17" s="134"/>
      <c r="M17" s="73"/>
      <c r="P17" s="195">
        <f t="shared" si="1"/>
        <v>-0.037599580966606094</v>
      </c>
      <c r="Q17" s="195">
        <f t="shared" si="1"/>
        <v>1.6422536169055268</v>
      </c>
      <c r="R17" s="195">
        <f t="shared" si="1"/>
        <v>-0.08180813880624038</v>
      </c>
      <c r="S17" s="195">
        <f t="shared" si="1"/>
        <v>-0.5879607904478856</v>
      </c>
      <c r="T17" s="195">
        <f t="shared" si="1"/>
        <v>0.9427208883396716</v>
      </c>
      <c r="U17" s="195">
        <f t="shared" si="1"/>
        <v>0.5445858142138</v>
      </c>
      <c r="V17" s="195">
        <f t="shared" si="1"/>
        <v>0.9523059135545475</v>
      </c>
      <c r="W17" s="195">
        <f t="shared" si="1"/>
        <v>0.13980769554655348</v>
      </c>
      <c r="X17" s="195">
        <f t="shared" si="1"/>
        <v>0.7413140111722316</v>
      </c>
    </row>
    <row r="18" spans="2:24" ht="12.75">
      <c r="B18" s="133" t="s">
        <v>122</v>
      </c>
      <c r="C18" s="134">
        <v>41067.3</v>
      </c>
      <c r="D18" s="134">
        <v>16000.460000000001</v>
      </c>
      <c r="E18" s="134">
        <v>88299.36</v>
      </c>
      <c r="F18" s="134">
        <v>25652.06</v>
      </c>
      <c r="G18" s="134">
        <v>34486.4</v>
      </c>
      <c r="H18" s="134">
        <v>101006.31999999999</v>
      </c>
      <c r="I18" s="134">
        <v>272034.6</v>
      </c>
      <c r="J18" s="134">
        <v>122928.38999999998</v>
      </c>
      <c r="K18" s="134">
        <v>385711.38</v>
      </c>
      <c r="L18" s="134"/>
      <c r="M18" s="73"/>
      <c r="P18" s="195">
        <f t="shared" si="1"/>
        <v>-0.4561774988081996</v>
      </c>
      <c r="Q18" s="195">
        <f t="shared" si="1"/>
        <v>-0.4852509329558615</v>
      </c>
      <c r="R18" s="195">
        <f t="shared" si="1"/>
        <v>0.11594767772511849</v>
      </c>
      <c r="S18" s="195">
        <f t="shared" si="1"/>
        <v>0.6230344827586207</v>
      </c>
      <c r="T18" s="195">
        <f t="shared" si="1"/>
        <v>-0.6910374484859344</v>
      </c>
      <c r="U18" s="195">
        <f t="shared" si="1"/>
        <v>-0.6051895948560596</v>
      </c>
      <c r="V18" s="195">
        <f t="shared" si="1"/>
        <v>-0.5583782204256563</v>
      </c>
      <c r="W18" s="195">
        <f t="shared" si="1"/>
        <v>-0.1350380664227414</v>
      </c>
      <c r="X18" s="195">
        <f t="shared" si="1"/>
        <v>0.1242574785546271</v>
      </c>
    </row>
    <row r="19" spans="2:24" ht="12.75">
      <c r="B19" s="133" t="s">
        <v>131</v>
      </c>
      <c r="C19" s="134">
        <v>51863.11990316702</v>
      </c>
      <c r="D19" s="134">
        <v>16391.720884117247</v>
      </c>
      <c r="E19" s="134">
        <v>112644.46653744439</v>
      </c>
      <c r="F19" s="134">
        <v>19220.222324539445</v>
      </c>
      <c r="G19" s="134">
        <v>69067.98620052033</v>
      </c>
      <c r="H19" s="134">
        <v>152632.15975101327</v>
      </c>
      <c r="I19" s="134">
        <v>314581.7498466616</v>
      </c>
      <c r="J19" s="134">
        <v>76034.57195077253</v>
      </c>
      <c r="K19" s="134">
        <v>340220.209903059</v>
      </c>
      <c r="L19" s="134"/>
      <c r="M19" s="73"/>
      <c r="P19" s="195">
        <f t="shared" si="1"/>
        <v>0.2628811707408818</v>
      </c>
      <c r="Q19" s="195">
        <f t="shared" si="1"/>
        <v>0.02445310223063868</v>
      </c>
      <c r="R19" s="195">
        <f t="shared" si="1"/>
        <v>0.27571101916757246</v>
      </c>
      <c r="S19" s="195">
        <f t="shared" si="1"/>
        <v>-0.250733768572994</v>
      </c>
      <c r="T19" s="195">
        <f t="shared" si="1"/>
        <v>1.002760108347648</v>
      </c>
      <c r="U19" s="195">
        <f t="shared" si="1"/>
        <v>0.5111149455896749</v>
      </c>
      <c r="V19" s="195">
        <f t="shared" si="1"/>
        <v>0.15640344958568364</v>
      </c>
      <c r="W19" s="195">
        <f t="shared" si="1"/>
        <v>-0.38147264475868803</v>
      </c>
      <c r="X19" s="195">
        <f t="shared" si="1"/>
        <v>-0.11794095911025748</v>
      </c>
    </row>
    <row r="20" spans="2:24" ht="12.75">
      <c r="B20" s="133" t="s">
        <v>146</v>
      </c>
      <c r="C20" s="134">
        <v>47235.5</v>
      </c>
      <c r="D20" s="134">
        <v>18070.8</v>
      </c>
      <c r="E20" s="134">
        <v>77889.39</v>
      </c>
      <c r="F20" s="134">
        <v>17620.16</v>
      </c>
      <c r="G20" s="134">
        <v>45494.03</v>
      </c>
      <c r="H20" s="134">
        <v>131819.4</v>
      </c>
      <c r="I20" s="134">
        <v>272045.36</v>
      </c>
      <c r="J20" s="134">
        <v>100735.98000000001</v>
      </c>
      <c r="K20" s="134">
        <v>344148.42000000004</v>
      </c>
      <c r="L20" s="134">
        <v>6265.9</v>
      </c>
      <c r="M20" s="73"/>
      <c r="P20" s="195">
        <f t="shared" si="1"/>
        <v>-0.089227565017438</v>
      </c>
      <c r="Q20" s="195">
        <f t="shared" si="1"/>
        <v>0.1024345843705583</v>
      </c>
      <c r="R20" s="195">
        <f t="shared" si="1"/>
        <v>-0.3085378057686604</v>
      </c>
      <c r="S20" s="195">
        <f t="shared" si="1"/>
        <v>-0.08324889782864597</v>
      </c>
      <c r="T20" s="195">
        <f t="shared" si="1"/>
        <v>-0.3413152387573555</v>
      </c>
      <c r="U20" s="195">
        <f t="shared" si="1"/>
        <v>-0.13635894155573014</v>
      </c>
      <c r="V20" s="195">
        <f t="shared" si="1"/>
        <v>-0.1352156947038261</v>
      </c>
      <c r="W20" s="195">
        <f t="shared" si="1"/>
        <v>0.3248707451818107</v>
      </c>
      <c r="X20" s="195">
        <f t="shared" si="1"/>
        <v>0.011546080986959417</v>
      </c>
    </row>
    <row r="21" spans="2:24" ht="12.75">
      <c r="B21" s="133" t="s">
        <v>179</v>
      </c>
      <c r="C21" s="134">
        <v>43406.3</v>
      </c>
      <c r="D21" s="134">
        <v>21881.1</v>
      </c>
      <c r="E21" s="134">
        <v>112928.4</v>
      </c>
      <c r="F21" s="134">
        <v>33402.9</v>
      </c>
      <c r="G21" s="134">
        <v>59085.4</v>
      </c>
      <c r="H21" s="134">
        <v>137049.3</v>
      </c>
      <c r="I21" s="134">
        <v>305709.5</v>
      </c>
      <c r="J21" s="134">
        <v>62139.8</v>
      </c>
      <c r="K21" s="134">
        <v>178633.9</v>
      </c>
      <c r="L21" s="134">
        <v>6265.44</v>
      </c>
      <c r="M21" s="73"/>
      <c r="P21" s="195">
        <f t="shared" si="1"/>
        <v>-0.0810661472832932</v>
      </c>
      <c r="Q21" s="195">
        <f t="shared" si="1"/>
        <v>0.21085397436748776</v>
      </c>
      <c r="R21" s="195">
        <f t="shared" si="1"/>
        <v>0.44985600734580156</v>
      </c>
      <c r="S21" s="195">
        <f t="shared" si="1"/>
        <v>0.8957205836950404</v>
      </c>
      <c r="T21" s="195">
        <f t="shared" si="1"/>
        <v>0.2987506272801068</v>
      </c>
      <c r="U21" s="195">
        <f t="shared" si="1"/>
        <v>0.039674736798984034</v>
      </c>
      <c r="V21" s="195">
        <f t="shared" si="1"/>
        <v>0.12374458435902014</v>
      </c>
      <c r="W21" s="195">
        <f t="shared" si="1"/>
        <v>-0.3831419518626811</v>
      </c>
      <c r="X21" s="195">
        <f t="shared" si="1"/>
        <v>-0.48093935750162686</v>
      </c>
    </row>
    <row r="22" spans="2:24" ht="12.75">
      <c r="B22" s="133" t="s">
        <v>199</v>
      </c>
      <c r="C22" s="134">
        <v>55735.817928483295</v>
      </c>
      <c r="D22" s="134">
        <v>24283.260402086016</v>
      </c>
      <c r="E22" s="134">
        <v>79277.19869993313</v>
      </c>
      <c r="F22" s="134">
        <v>28309.72260457333</v>
      </c>
      <c r="G22" s="134">
        <v>75935.70389311104</v>
      </c>
      <c r="H22" s="134">
        <v>141130.0223919691</v>
      </c>
      <c r="I22" s="134">
        <v>368994.71594551863</v>
      </c>
      <c r="J22" s="134">
        <v>87347.81615447787</v>
      </c>
      <c r="K22" s="134">
        <v>341847.43427319085</v>
      </c>
      <c r="L22" s="134">
        <v>6850.954904834283</v>
      </c>
      <c r="M22" s="73"/>
      <c r="P22" s="195">
        <f>+C22/C21-1</f>
        <v>0.28404904192440483</v>
      </c>
      <c r="Q22" s="195">
        <f>+D22/D21-1</f>
        <v>0.10978243333680737</v>
      </c>
      <c r="R22" s="195">
        <f>+E22/E21-1</f>
        <v>-0.29798705462989705</v>
      </c>
      <c r="S22" s="195">
        <f>+F22/F21-1</f>
        <v>-0.15247710215061183</v>
      </c>
      <c r="T22" s="195">
        <f>+G22/G21-1</f>
        <v>0.28518557703106073</v>
      </c>
      <c r="U22" s="195">
        <f>+H22/H21-1</f>
        <v>0.02977557996990221</v>
      </c>
      <c r="V22" s="195">
        <f>+I22/I21-1</f>
        <v>0.2070109563017133</v>
      </c>
      <c r="W22" s="195">
        <f>+J22/J21-1</f>
        <v>0.4056661938802164</v>
      </c>
      <c r="X22" s="195">
        <f>+K22/K21-1</f>
        <v>0.9136761514650402</v>
      </c>
    </row>
    <row r="23" spans="2:12" ht="33.75" customHeight="1">
      <c r="B23" s="380" t="s">
        <v>273</v>
      </c>
      <c r="C23" s="381"/>
      <c r="D23" s="381"/>
      <c r="E23" s="381"/>
      <c r="F23" s="381"/>
      <c r="G23" s="381"/>
      <c r="H23" s="381"/>
      <c r="I23" s="381"/>
      <c r="J23" s="381"/>
      <c r="K23" s="381"/>
      <c r="L23" s="381"/>
    </row>
    <row r="24" spans="2:12" ht="12.75">
      <c r="B24" s="130"/>
      <c r="C24" s="130"/>
      <c r="D24" s="130"/>
      <c r="E24" s="130"/>
      <c r="F24" s="130"/>
      <c r="G24" s="130"/>
      <c r="H24" s="130"/>
      <c r="I24" s="130"/>
      <c r="J24" s="130"/>
      <c r="K24" s="130"/>
      <c r="L24" s="130"/>
    </row>
    <row r="25" spans="2:13" ht="12.75">
      <c r="B25" s="304"/>
      <c r="C25" s="305"/>
      <c r="D25" s="305"/>
      <c r="E25" s="305"/>
      <c r="F25" s="305"/>
      <c r="G25" s="305"/>
      <c r="H25" s="305"/>
      <c r="I25" s="305"/>
      <c r="J25" s="305"/>
      <c r="K25" s="305"/>
      <c r="L25" s="305"/>
      <c r="M25" s="300"/>
    </row>
    <row r="26" spans="2:13" ht="12.75">
      <c r="B26" s="304"/>
      <c r="C26" s="305"/>
      <c r="D26" s="305"/>
      <c r="E26" s="305"/>
      <c r="F26" s="305"/>
      <c r="G26" s="305"/>
      <c r="H26" s="305"/>
      <c r="I26" s="305"/>
      <c r="J26" s="305"/>
      <c r="K26" s="305"/>
      <c r="L26" s="305"/>
      <c r="M26" s="300"/>
    </row>
    <row r="27" spans="2:13" ht="12.75">
      <c r="B27" s="304"/>
      <c r="C27" s="305"/>
      <c r="D27" s="305"/>
      <c r="E27" s="305"/>
      <c r="F27" s="305"/>
      <c r="G27" s="305"/>
      <c r="H27" s="305"/>
      <c r="I27" s="305"/>
      <c r="J27" s="305"/>
      <c r="K27" s="305"/>
      <c r="L27" s="305"/>
      <c r="M27" s="300"/>
    </row>
    <row r="28" spans="2:13" ht="12.75">
      <c r="B28" s="304"/>
      <c r="C28" s="306"/>
      <c r="D28" s="306"/>
      <c r="E28" s="306"/>
      <c r="F28" s="306"/>
      <c r="G28" s="306"/>
      <c r="H28" s="306"/>
      <c r="I28" s="306"/>
      <c r="J28" s="306"/>
      <c r="K28" s="306"/>
      <c r="L28" s="306"/>
      <c r="M28" s="300"/>
    </row>
    <row r="29" spans="2:12" ht="12.75">
      <c r="B29" s="130"/>
      <c r="C29" s="130"/>
      <c r="D29" s="130"/>
      <c r="E29" s="130"/>
      <c r="F29" s="130"/>
      <c r="G29" s="130"/>
      <c r="H29" s="130"/>
      <c r="I29" s="130"/>
      <c r="J29" s="130"/>
      <c r="K29" s="130"/>
      <c r="L29" s="130"/>
    </row>
    <row r="30" spans="2:12" ht="12.75">
      <c r="B30" s="130"/>
      <c r="C30" s="130"/>
      <c r="D30" s="130"/>
      <c r="E30" s="130"/>
      <c r="F30" s="130"/>
      <c r="G30" s="130"/>
      <c r="H30" s="130"/>
      <c r="I30" s="130"/>
      <c r="J30" s="130"/>
      <c r="K30" s="130"/>
      <c r="L30" s="130"/>
    </row>
    <row r="31" spans="2:12" ht="12.75">
      <c r="B31" s="130"/>
      <c r="C31" s="130"/>
      <c r="D31" s="130"/>
      <c r="E31" s="130"/>
      <c r="F31" s="130"/>
      <c r="G31" s="130"/>
      <c r="H31" s="130"/>
      <c r="I31" s="130"/>
      <c r="J31" s="130"/>
      <c r="K31" s="130"/>
      <c r="L31" s="130"/>
    </row>
    <row r="32" spans="2:12" ht="12.75">
      <c r="B32" s="130"/>
      <c r="C32" s="130"/>
      <c r="D32" s="130"/>
      <c r="E32" s="130"/>
      <c r="F32" s="130"/>
      <c r="G32" s="130"/>
      <c r="H32" s="130"/>
      <c r="I32" s="130"/>
      <c r="J32" s="130"/>
      <c r="K32" s="130"/>
      <c r="L32" s="130"/>
    </row>
    <row r="33" spans="2:12" ht="12.75">
      <c r="B33" s="130"/>
      <c r="C33" s="130"/>
      <c r="D33" s="130"/>
      <c r="E33" s="130"/>
      <c r="F33" s="130"/>
      <c r="G33" s="130"/>
      <c r="H33" s="130"/>
      <c r="I33" s="130"/>
      <c r="J33" s="130"/>
      <c r="K33" s="130"/>
      <c r="L33" s="130"/>
    </row>
    <row r="34" spans="2:12" ht="12.75">
      <c r="B34" s="130"/>
      <c r="C34" s="130"/>
      <c r="D34" s="130"/>
      <c r="E34" s="130"/>
      <c r="F34" s="130"/>
      <c r="G34" s="130"/>
      <c r="H34" s="130"/>
      <c r="I34" s="130"/>
      <c r="J34" s="130"/>
      <c r="K34" s="130"/>
      <c r="L34" s="130"/>
    </row>
    <row r="35" spans="2:12" ht="12.75">
      <c r="B35" s="130"/>
      <c r="C35" s="130"/>
      <c r="D35" s="130"/>
      <c r="E35" s="130"/>
      <c r="F35" s="130"/>
      <c r="G35" s="130"/>
      <c r="H35" s="130"/>
      <c r="I35" s="130"/>
      <c r="J35" s="130"/>
      <c r="K35" s="130"/>
      <c r="L35" s="130"/>
    </row>
    <row r="36" spans="2:12" ht="12.75">
      <c r="B36" s="130"/>
      <c r="C36" s="130"/>
      <c r="D36" s="130"/>
      <c r="E36" s="130"/>
      <c r="F36" s="130"/>
      <c r="G36" s="130"/>
      <c r="H36" s="130"/>
      <c r="I36" s="130"/>
      <c r="J36" s="130"/>
      <c r="K36" s="130"/>
      <c r="L36" s="130"/>
    </row>
    <row r="37" spans="2:12" ht="12.75">
      <c r="B37" s="130"/>
      <c r="C37" s="130"/>
      <c r="D37" s="130"/>
      <c r="E37" s="130"/>
      <c r="F37" s="130"/>
      <c r="G37" s="130"/>
      <c r="H37" s="130"/>
      <c r="I37" s="130"/>
      <c r="J37" s="130"/>
      <c r="K37" s="130"/>
      <c r="L37" s="130"/>
    </row>
    <row r="38" spans="2:12" ht="12.75">
      <c r="B38" s="130"/>
      <c r="C38" s="130"/>
      <c r="D38" s="130"/>
      <c r="E38" s="130"/>
      <c r="F38" s="130"/>
      <c r="G38" s="130"/>
      <c r="H38" s="130"/>
      <c r="I38" s="130"/>
      <c r="J38" s="130"/>
      <c r="K38" s="130"/>
      <c r="L38" s="130"/>
    </row>
    <row r="39" spans="2:12" ht="12.75">
      <c r="B39" s="130"/>
      <c r="C39" s="130"/>
      <c r="D39" s="130"/>
      <c r="E39" s="130"/>
      <c r="F39" s="130"/>
      <c r="G39" s="130"/>
      <c r="H39" s="130"/>
      <c r="I39" s="130"/>
      <c r="J39" s="130"/>
      <c r="K39" s="130"/>
      <c r="L39" s="130"/>
    </row>
    <row r="40" spans="2:12" ht="12.75">
      <c r="B40" s="130"/>
      <c r="C40" s="130"/>
      <c r="D40" s="130"/>
      <c r="E40" s="130"/>
      <c r="F40" s="130"/>
      <c r="G40" s="130"/>
      <c r="H40" s="130"/>
      <c r="I40" s="130"/>
      <c r="J40" s="130"/>
      <c r="K40" s="130"/>
      <c r="L40" s="130"/>
    </row>
    <row r="41" spans="2:12" ht="12.75">
      <c r="B41" s="130"/>
      <c r="C41" s="130"/>
      <c r="D41" s="130"/>
      <c r="E41" s="130"/>
      <c r="F41" s="130"/>
      <c r="G41" s="130"/>
      <c r="H41" s="130"/>
      <c r="I41" s="130"/>
      <c r="J41" s="130"/>
      <c r="K41" s="130"/>
      <c r="L41" s="130"/>
    </row>
    <row r="42" spans="2:12" ht="12.75">
      <c r="B42" s="130"/>
      <c r="C42" s="130"/>
      <c r="D42" s="130"/>
      <c r="E42" s="130"/>
      <c r="F42" s="130"/>
      <c r="G42" s="130"/>
      <c r="H42" s="130"/>
      <c r="I42" s="130"/>
      <c r="J42" s="130"/>
      <c r="K42" s="130"/>
      <c r="L42" s="130"/>
    </row>
    <row r="43" spans="2:12" ht="12.75">
      <c r="B43" s="130"/>
      <c r="C43" s="130"/>
      <c r="D43" s="130"/>
      <c r="E43" s="130"/>
      <c r="F43" s="130"/>
      <c r="G43" s="130"/>
      <c r="H43" s="130"/>
      <c r="I43" s="130"/>
      <c r="J43" s="130"/>
      <c r="K43" s="130"/>
      <c r="L43" s="130"/>
    </row>
    <row r="44" spans="2:12" ht="12.75">
      <c r="B44" s="130"/>
      <c r="C44" s="130"/>
      <c r="D44" s="130"/>
      <c r="E44" s="130"/>
      <c r="F44" s="130"/>
      <c r="G44" s="130"/>
      <c r="H44" s="130"/>
      <c r="I44" s="130"/>
      <c r="J44" s="130"/>
      <c r="K44" s="130"/>
      <c r="L44" s="130"/>
    </row>
    <row r="45" spans="2:12" ht="12.75">
      <c r="B45" s="130"/>
      <c r="C45" s="130"/>
      <c r="D45" s="130"/>
      <c r="E45" s="130"/>
      <c r="F45" s="130"/>
      <c r="G45" s="130"/>
      <c r="H45" s="130"/>
      <c r="I45" s="130"/>
      <c r="J45" s="130"/>
      <c r="K45" s="130"/>
      <c r="L45" s="130"/>
    </row>
    <row r="46" spans="3:12" ht="12.75">
      <c r="C46" s="130"/>
      <c r="D46" s="130"/>
      <c r="E46" s="130"/>
      <c r="F46" s="130"/>
      <c r="G46" s="130"/>
      <c r="H46" s="130"/>
      <c r="I46" s="130"/>
      <c r="J46" s="130"/>
      <c r="K46" s="130"/>
      <c r="L46" s="130"/>
    </row>
    <row r="47" spans="2:12" ht="12.75">
      <c r="B47" s="130"/>
      <c r="C47" s="130"/>
      <c r="D47" s="130"/>
      <c r="E47" s="130"/>
      <c r="F47" s="130"/>
      <c r="G47" s="130"/>
      <c r="H47" s="130"/>
      <c r="I47" s="130"/>
      <c r="J47" s="130"/>
      <c r="K47" s="130"/>
      <c r="L47" s="130"/>
    </row>
    <row r="48" ht="12.75">
      <c r="B48" s="303" t="s">
        <v>260</v>
      </c>
    </row>
    <row r="51" spans="3:12" ht="12.75">
      <c r="C51" s="134"/>
      <c r="D51" s="134"/>
      <c r="E51" s="134"/>
      <c r="F51" s="134"/>
      <c r="G51" s="134"/>
      <c r="H51" s="134"/>
      <c r="I51" s="134"/>
      <c r="J51" s="134"/>
      <c r="K51" s="134"/>
      <c r="L51" s="134"/>
    </row>
  </sheetData>
  <sheetProtection/>
  <mergeCells count="5">
    <mergeCell ref="B6:B7"/>
    <mergeCell ref="B2:L2"/>
    <mergeCell ref="B3:L3"/>
    <mergeCell ref="B4:L4"/>
    <mergeCell ref="B23:L23"/>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Y50"/>
  <sheetViews>
    <sheetView zoomScale="80" zoomScaleNormal="80" zoomScalePageLayoutView="60" workbookViewId="0" topLeftCell="A1">
      <selection activeCell="A1" sqref="A1"/>
    </sheetView>
  </sheetViews>
  <sheetFormatPr defaultColWidth="10.8515625" defaultRowHeight="15"/>
  <cols>
    <col min="1" max="1" width="1.421875" style="20" customWidth="1"/>
    <col min="2" max="2" width="11.421875" style="20" customWidth="1"/>
    <col min="3" max="4" width="12.00390625" style="20" customWidth="1"/>
    <col min="5" max="5" width="14.8515625" style="20" customWidth="1"/>
    <col min="6" max="8" width="12.00390625" style="20" customWidth="1"/>
    <col min="9" max="9" width="13.7109375" style="20" customWidth="1"/>
    <col min="10" max="11" width="12.00390625" style="20" customWidth="1"/>
    <col min="12" max="12" width="10.8515625" style="20" customWidth="1"/>
    <col min="13" max="13" width="1.28515625" style="20" customWidth="1"/>
    <col min="14" max="14" width="10.8515625" style="20" customWidth="1"/>
    <col min="15" max="15" width="10.8515625" style="174" customWidth="1"/>
    <col min="16" max="24" width="10.8515625" style="166" hidden="1" customWidth="1"/>
    <col min="25" max="25" width="10.8515625" style="174" customWidth="1"/>
    <col min="26" max="16384" width="10.8515625" style="20" customWidth="1"/>
  </cols>
  <sheetData>
    <row r="1" ht="6.75" customHeight="1"/>
    <row r="2" spans="2:16" ht="12.75">
      <c r="B2" s="354" t="s">
        <v>142</v>
      </c>
      <c r="C2" s="354"/>
      <c r="D2" s="354"/>
      <c r="E2" s="354"/>
      <c r="F2" s="354"/>
      <c r="G2" s="354"/>
      <c r="H2" s="354"/>
      <c r="I2" s="354"/>
      <c r="J2" s="354"/>
      <c r="K2" s="354"/>
      <c r="L2" s="354"/>
      <c r="M2" s="286"/>
      <c r="N2" s="48" t="s">
        <v>152</v>
      </c>
      <c r="O2" s="270"/>
      <c r="P2" s="329"/>
    </row>
    <row r="3" spans="2:16" ht="12.75">
      <c r="B3" s="354" t="s">
        <v>47</v>
      </c>
      <c r="C3" s="354"/>
      <c r="D3" s="354"/>
      <c r="E3" s="354"/>
      <c r="F3" s="354"/>
      <c r="G3" s="354"/>
      <c r="H3" s="354"/>
      <c r="I3" s="354"/>
      <c r="J3" s="354"/>
      <c r="K3" s="354"/>
      <c r="L3" s="354"/>
      <c r="M3" s="286"/>
      <c r="N3" s="286"/>
      <c r="O3" s="270"/>
      <c r="P3" s="329"/>
    </row>
    <row r="4" spans="2:16" ht="15" customHeight="1">
      <c r="B4" s="354" t="s">
        <v>29</v>
      </c>
      <c r="C4" s="354"/>
      <c r="D4" s="354"/>
      <c r="E4" s="354"/>
      <c r="F4" s="354"/>
      <c r="G4" s="354"/>
      <c r="H4" s="354"/>
      <c r="I4" s="354"/>
      <c r="J4" s="354"/>
      <c r="K4" s="354"/>
      <c r="L4" s="354"/>
      <c r="M4" s="286"/>
      <c r="N4" s="286"/>
      <c r="O4" s="270"/>
      <c r="P4" s="329"/>
    </row>
    <row r="5" spans="2:16" ht="12.75">
      <c r="B5" s="2"/>
      <c r="C5" s="2"/>
      <c r="D5" s="2"/>
      <c r="E5" s="2"/>
      <c r="F5" s="2"/>
      <c r="G5" s="2"/>
      <c r="H5" s="2"/>
      <c r="I5" s="2"/>
      <c r="J5" s="2"/>
      <c r="K5" s="2"/>
      <c r="L5" s="2"/>
      <c r="M5" s="2"/>
      <c r="N5" s="2"/>
      <c r="O5" s="309"/>
      <c r="P5" s="330"/>
    </row>
    <row r="6" spans="2:16" ht="15" customHeight="1">
      <c r="B6" s="377" t="s">
        <v>13</v>
      </c>
      <c r="C6" s="287" t="s">
        <v>24</v>
      </c>
      <c r="D6" s="287" t="s">
        <v>24</v>
      </c>
      <c r="E6" s="287" t="s">
        <v>26</v>
      </c>
      <c r="F6" s="287" t="s">
        <v>24</v>
      </c>
      <c r="G6" s="287" t="s">
        <v>25</v>
      </c>
      <c r="H6" s="287" t="s">
        <v>25</v>
      </c>
      <c r="I6" s="287" t="s">
        <v>24</v>
      </c>
      <c r="J6" s="287" t="s">
        <v>24</v>
      </c>
      <c r="K6" s="287" t="s">
        <v>24</v>
      </c>
      <c r="L6" s="287" t="s">
        <v>158</v>
      </c>
      <c r="M6" s="1"/>
      <c r="N6" s="1"/>
      <c r="O6" s="310"/>
      <c r="P6" s="331"/>
    </row>
    <row r="7" spans="2:25" ht="15" customHeight="1">
      <c r="B7" s="378"/>
      <c r="C7" s="288" t="s">
        <v>23</v>
      </c>
      <c r="D7" s="288" t="s">
        <v>22</v>
      </c>
      <c r="E7" s="288" t="s">
        <v>21</v>
      </c>
      <c r="F7" s="288" t="s">
        <v>20</v>
      </c>
      <c r="G7" s="288" t="s">
        <v>19</v>
      </c>
      <c r="H7" s="288" t="s">
        <v>18</v>
      </c>
      <c r="I7" s="288" t="s">
        <v>17</v>
      </c>
      <c r="J7" s="288" t="s">
        <v>16</v>
      </c>
      <c r="K7" s="288" t="s">
        <v>15</v>
      </c>
      <c r="L7" s="288" t="s">
        <v>159</v>
      </c>
      <c r="M7" s="1"/>
      <c r="N7" s="1"/>
      <c r="O7" s="310"/>
      <c r="P7" s="326" t="str">
        <f>+C7</f>
        <v>Coquimbo</v>
      </c>
      <c r="Q7" s="326" t="str">
        <f aca="true" t="shared" si="0" ref="Q7:V7">+D7</f>
        <v>Valparaíso</v>
      </c>
      <c r="R7" s="326" t="str">
        <f t="shared" si="0"/>
        <v>Metropolitana</v>
      </c>
      <c r="S7" s="326" t="str">
        <f t="shared" si="0"/>
        <v>O´Higgins</v>
      </c>
      <c r="T7" s="326" t="str">
        <f t="shared" si="0"/>
        <v>Maule</v>
      </c>
      <c r="U7" s="326" t="str">
        <f t="shared" si="0"/>
        <v>Bío Bío</v>
      </c>
      <c r="V7" s="326" t="str">
        <f t="shared" si="0"/>
        <v>La Araucanía</v>
      </c>
      <c r="W7" s="326" t="str">
        <f>+J7</f>
        <v>Los Ríos</v>
      </c>
      <c r="X7" s="326" t="str">
        <f>+K7</f>
        <v>Los Lagos</v>
      </c>
      <c r="Y7" s="310"/>
    </row>
    <row r="8" spans="2:25" ht="12.75" customHeight="1">
      <c r="B8" s="74" t="s">
        <v>11</v>
      </c>
      <c r="C8" s="93">
        <v>22.020369127516776</v>
      </c>
      <c r="D8" s="94">
        <v>14.461283783783784</v>
      </c>
      <c r="E8" s="94">
        <v>19.28257009345794</v>
      </c>
      <c r="F8" s="94">
        <v>16.780304054054053</v>
      </c>
      <c r="G8" s="94">
        <v>14.920527577937651</v>
      </c>
      <c r="H8" s="94">
        <v>19.960667938931298</v>
      </c>
      <c r="I8" s="94">
        <v>23.313738214087632</v>
      </c>
      <c r="J8" s="94"/>
      <c r="K8" s="94">
        <v>23.38645287228109</v>
      </c>
      <c r="L8" s="94"/>
      <c r="M8" s="94"/>
      <c r="N8" s="49"/>
      <c r="O8" s="311"/>
      <c r="Y8" s="311"/>
    </row>
    <row r="9" spans="2:25" ht="12.75" customHeight="1">
      <c r="B9" s="74" t="s">
        <v>10</v>
      </c>
      <c r="C9" s="94">
        <v>20.42828413284133</v>
      </c>
      <c r="D9" s="94">
        <v>12.118067226890757</v>
      </c>
      <c r="E9" s="94">
        <v>15.59320293398533</v>
      </c>
      <c r="F9" s="94">
        <v>18.21232484076433</v>
      </c>
      <c r="G9" s="94">
        <v>14.86148051948052</v>
      </c>
      <c r="H9" s="94">
        <v>19.89370826010545</v>
      </c>
      <c r="I9" s="94">
        <v>19.841906666666667</v>
      </c>
      <c r="J9" s="94"/>
      <c r="K9" s="94">
        <v>22.54059472716125</v>
      </c>
      <c r="L9" s="94"/>
      <c r="M9" s="94"/>
      <c r="N9" s="49"/>
      <c r="O9" s="311"/>
      <c r="P9" s="195">
        <f aca="true" t="shared" si="1" ref="P9:X21">+C9/C8-1</f>
        <v>-0.07230055888054876</v>
      </c>
      <c r="Q9" s="195">
        <f t="shared" si="1"/>
        <v>-0.16203378565329052</v>
      </c>
      <c r="R9" s="195">
        <f t="shared" si="1"/>
        <v>-0.191331712608389</v>
      </c>
      <c r="S9" s="195">
        <f t="shared" si="1"/>
        <v>0.08533938253426987</v>
      </c>
      <c r="T9" s="195">
        <f t="shared" si="1"/>
        <v>-0.0039574377077954415</v>
      </c>
      <c r="U9" s="195">
        <f t="shared" si="1"/>
        <v>-0.003354581070669105</v>
      </c>
      <c r="V9" s="195">
        <f t="shared" si="1"/>
        <v>-0.14891784043980838</v>
      </c>
      <c r="W9" s="195" t="e">
        <f t="shared" si="1"/>
        <v>#DIV/0!</v>
      </c>
      <c r="X9" s="195">
        <f t="shared" si="1"/>
        <v>-0.03616872339466237</v>
      </c>
      <c r="Y9" s="311"/>
    </row>
    <row r="10" spans="2:25" ht="12.75" customHeight="1">
      <c r="B10" s="74" t="s">
        <v>9</v>
      </c>
      <c r="C10" s="94">
        <v>20.3</v>
      </c>
      <c r="D10" s="94">
        <v>12.5</v>
      </c>
      <c r="E10" s="94">
        <v>15.84</v>
      </c>
      <c r="F10" s="94">
        <v>19</v>
      </c>
      <c r="G10" s="94">
        <v>15.05</v>
      </c>
      <c r="H10" s="94">
        <v>20.05</v>
      </c>
      <c r="I10" s="94">
        <v>18</v>
      </c>
      <c r="J10" s="94"/>
      <c r="K10" s="94">
        <v>22.72</v>
      </c>
      <c r="L10" s="94"/>
      <c r="M10" s="94"/>
      <c r="N10" s="49"/>
      <c r="O10" s="311"/>
      <c r="P10" s="195">
        <f t="shared" si="1"/>
        <v>-0.006279731180901971</v>
      </c>
      <c r="Q10" s="195">
        <f t="shared" si="1"/>
        <v>0.03151763115009887</v>
      </c>
      <c r="R10" s="195">
        <f t="shared" si="1"/>
        <v>0.015827220812779652</v>
      </c>
      <c r="S10" s="195">
        <f t="shared" si="1"/>
        <v>0.043249566769895775</v>
      </c>
      <c r="T10" s="195">
        <f t="shared" si="1"/>
        <v>0.012685107669613949</v>
      </c>
      <c r="U10" s="195">
        <f t="shared" si="1"/>
        <v>0.007856340198171052</v>
      </c>
      <c r="V10" s="195">
        <f t="shared" si="1"/>
        <v>-0.09282911655667503</v>
      </c>
      <c r="W10" s="195" t="e">
        <f t="shared" si="1"/>
        <v>#DIV/0!</v>
      </c>
      <c r="X10" s="195">
        <f t="shared" si="1"/>
        <v>0.007959207599015361</v>
      </c>
      <c r="Y10" s="311"/>
    </row>
    <row r="11" spans="2:25" ht="12.75" customHeight="1">
      <c r="B11" s="74" t="s">
        <v>8</v>
      </c>
      <c r="C11" s="94">
        <v>21.48</v>
      </c>
      <c r="D11" s="94">
        <v>16.5</v>
      </c>
      <c r="E11" s="94">
        <v>13.26</v>
      </c>
      <c r="F11" s="94">
        <v>20.04</v>
      </c>
      <c r="G11" s="94">
        <v>15.16</v>
      </c>
      <c r="H11" s="94">
        <v>20.27</v>
      </c>
      <c r="I11" s="94">
        <v>20.57</v>
      </c>
      <c r="J11" s="74"/>
      <c r="K11" s="94">
        <v>22.380000000000003</v>
      </c>
      <c r="L11" s="94"/>
      <c r="M11" s="94"/>
      <c r="N11" s="49"/>
      <c r="O11" s="311"/>
      <c r="P11" s="195">
        <f t="shared" si="1"/>
        <v>0.058128078817734075</v>
      </c>
      <c r="Q11" s="195">
        <f t="shared" si="1"/>
        <v>0.32000000000000006</v>
      </c>
      <c r="R11" s="195">
        <f t="shared" si="1"/>
        <v>-0.16287878787878785</v>
      </c>
      <c r="S11" s="195">
        <f t="shared" si="1"/>
        <v>0.054736842105263195</v>
      </c>
      <c r="T11" s="195">
        <f t="shared" si="1"/>
        <v>0.0073089700996678</v>
      </c>
      <c r="U11" s="195">
        <f t="shared" si="1"/>
        <v>0.010972568578553554</v>
      </c>
      <c r="V11" s="195">
        <f t="shared" si="1"/>
        <v>0.1427777777777779</v>
      </c>
      <c r="W11" s="195" t="e">
        <f t="shared" si="1"/>
        <v>#DIV/0!</v>
      </c>
      <c r="X11" s="195">
        <f t="shared" si="1"/>
        <v>-0.014964788732394152</v>
      </c>
      <c r="Y11" s="311"/>
    </row>
    <row r="12" spans="2:25" ht="12.75" customHeight="1">
      <c r="B12" s="74" t="s">
        <v>7</v>
      </c>
      <c r="C12" s="94">
        <v>21.55</v>
      </c>
      <c r="D12" s="94">
        <v>16.75</v>
      </c>
      <c r="E12" s="94">
        <v>14.86</v>
      </c>
      <c r="F12" s="94">
        <v>12.98</v>
      </c>
      <c r="G12" s="94">
        <v>16.94</v>
      </c>
      <c r="H12" s="94">
        <v>19.95</v>
      </c>
      <c r="I12" s="94">
        <v>24.81</v>
      </c>
      <c r="J12" s="74"/>
      <c r="K12" s="94">
        <v>25.82</v>
      </c>
      <c r="L12" s="94"/>
      <c r="M12" s="94"/>
      <c r="N12" s="49"/>
      <c r="O12" s="311"/>
      <c r="P12" s="195">
        <f t="shared" si="1"/>
        <v>0.0032588454376163423</v>
      </c>
      <c r="Q12" s="195">
        <f t="shared" si="1"/>
        <v>0.015151515151515138</v>
      </c>
      <c r="R12" s="195">
        <f t="shared" si="1"/>
        <v>0.1206636500754148</v>
      </c>
      <c r="S12" s="195">
        <f t="shared" si="1"/>
        <v>-0.3522954091816367</v>
      </c>
      <c r="T12" s="195">
        <f t="shared" si="1"/>
        <v>0.11741424802110823</v>
      </c>
      <c r="U12" s="195">
        <f t="shared" si="1"/>
        <v>-0.015786877158362134</v>
      </c>
      <c r="V12" s="195">
        <f t="shared" si="1"/>
        <v>0.20612542537676215</v>
      </c>
      <c r="W12" s="195" t="e">
        <f t="shared" si="1"/>
        <v>#DIV/0!</v>
      </c>
      <c r="X12" s="195">
        <f t="shared" si="1"/>
        <v>0.15370866845397657</v>
      </c>
      <c r="Y12" s="311"/>
    </row>
    <row r="13" spans="2:25" ht="12.75" customHeight="1">
      <c r="B13" s="74" t="s">
        <v>6</v>
      </c>
      <c r="C13" s="94">
        <v>17.426408798813643</v>
      </c>
      <c r="D13" s="94">
        <v>9.337508813376187</v>
      </c>
      <c r="E13" s="94">
        <v>16.623426967364942</v>
      </c>
      <c r="F13" s="94">
        <v>13.281982350534744</v>
      </c>
      <c r="G13" s="94">
        <v>13.350154657230894</v>
      </c>
      <c r="H13" s="94">
        <v>11.576870309860222</v>
      </c>
      <c r="I13" s="94">
        <v>15.118167139676645</v>
      </c>
      <c r="J13" s="94">
        <v>18.236673129705636</v>
      </c>
      <c r="K13" s="94">
        <v>19.057086368736975</v>
      </c>
      <c r="L13" s="94"/>
      <c r="M13" s="94"/>
      <c r="N13" s="49"/>
      <c r="O13" s="311"/>
      <c r="P13" s="195">
        <f t="shared" si="1"/>
        <v>-0.1913499397302254</v>
      </c>
      <c r="Q13" s="195">
        <f t="shared" si="1"/>
        <v>-0.4425367872611231</v>
      </c>
      <c r="R13" s="195">
        <f t="shared" si="1"/>
        <v>0.11866937869212268</v>
      </c>
      <c r="S13" s="195">
        <f t="shared" si="1"/>
        <v>0.023265204201444067</v>
      </c>
      <c r="T13" s="195">
        <f t="shared" si="1"/>
        <v>-0.2119153094905022</v>
      </c>
      <c r="U13" s="195">
        <f t="shared" si="1"/>
        <v>-0.4197057488791869</v>
      </c>
      <c r="V13" s="195">
        <f t="shared" si="1"/>
        <v>-0.3906421950956612</v>
      </c>
      <c r="W13" s="195" t="e">
        <f t="shared" si="1"/>
        <v>#DIV/0!</v>
      </c>
      <c r="X13" s="195">
        <f t="shared" si="1"/>
        <v>-0.26192539238044243</v>
      </c>
      <c r="Y13" s="311"/>
    </row>
    <row r="14" spans="2:25" ht="12.75" customHeight="1">
      <c r="B14" s="74" t="s">
        <v>5</v>
      </c>
      <c r="C14" s="94">
        <v>19</v>
      </c>
      <c r="D14" s="94">
        <v>13.6</v>
      </c>
      <c r="E14" s="94">
        <v>15.330000000000002</v>
      </c>
      <c r="F14" s="94">
        <v>17</v>
      </c>
      <c r="G14" s="94">
        <v>17.07</v>
      </c>
      <c r="H14" s="94">
        <v>16.7</v>
      </c>
      <c r="I14" s="94">
        <v>14.88</v>
      </c>
      <c r="J14" s="94">
        <v>20.43</v>
      </c>
      <c r="K14" s="94">
        <v>21.03</v>
      </c>
      <c r="L14" s="94"/>
      <c r="M14" s="94"/>
      <c r="N14" s="49"/>
      <c r="O14" s="311"/>
      <c r="P14" s="195">
        <f t="shared" si="1"/>
        <v>0.09029922454783024</v>
      </c>
      <c r="Q14" s="195">
        <f t="shared" si="1"/>
        <v>0.456491262478671</v>
      </c>
      <c r="R14" s="195">
        <f t="shared" si="1"/>
        <v>-0.07780748036516127</v>
      </c>
      <c r="S14" s="195">
        <f t="shared" si="1"/>
        <v>0.2799294225319886</v>
      </c>
      <c r="T14" s="195">
        <f t="shared" si="1"/>
        <v>0.27863687262636416</v>
      </c>
      <c r="U14" s="195">
        <f t="shared" si="1"/>
        <v>0.4425314919332144</v>
      </c>
      <c r="V14" s="195">
        <f t="shared" si="1"/>
        <v>-0.015753704630741217</v>
      </c>
      <c r="W14" s="195">
        <f t="shared" si="1"/>
        <v>0.12027012025135564</v>
      </c>
      <c r="X14" s="195">
        <f t="shared" si="1"/>
        <v>0.10352650940909713</v>
      </c>
      <c r="Y14" s="311"/>
    </row>
    <row r="15" spans="2:25" ht="12.75" customHeight="1">
      <c r="B15" s="74" t="s">
        <v>4</v>
      </c>
      <c r="C15" s="94">
        <v>17.22</v>
      </c>
      <c r="D15" s="94">
        <v>13.780000000000001</v>
      </c>
      <c r="E15" s="94">
        <v>19.23</v>
      </c>
      <c r="F15" s="94">
        <v>14.49</v>
      </c>
      <c r="G15" s="94">
        <v>14.62</v>
      </c>
      <c r="H15" s="94">
        <v>15.63</v>
      </c>
      <c r="I15" s="94">
        <v>19.71</v>
      </c>
      <c r="J15" s="94">
        <v>26.630000000000003</v>
      </c>
      <c r="K15" s="94">
        <v>25.910000000000004</v>
      </c>
      <c r="L15" s="94"/>
      <c r="M15" s="94"/>
      <c r="N15" s="49"/>
      <c r="O15" s="311"/>
      <c r="P15" s="195">
        <f t="shared" si="1"/>
        <v>-0.09368421052631581</v>
      </c>
      <c r="Q15" s="195">
        <f t="shared" si="1"/>
        <v>0.013235294117647234</v>
      </c>
      <c r="R15" s="195">
        <f t="shared" si="1"/>
        <v>0.25440313111545976</v>
      </c>
      <c r="S15" s="195">
        <f t="shared" si="1"/>
        <v>-0.14764705882352935</v>
      </c>
      <c r="T15" s="195">
        <f t="shared" si="1"/>
        <v>-0.1435266549502051</v>
      </c>
      <c r="U15" s="195">
        <f t="shared" si="1"/>
        <v>-0.06407185628742507</v>
      </c>
      <c r="V15" s="195">
        <f t="shared" si="1"/>
        <v>0.32459677419354827</v>
      </c>
      <c r="W15" s="195">
        <f t="shared" si="1"/>
        <v>0.30347528144884994</v>
      </c>
      <c r="X15" s="195">
        <f t="shared" si="1"/>
        <v>0.2320494531621493</v>
      </c>
      <c r="Y15" s="311"/>
    </row>
    <row r="16" spans="2:25" ht="12.75" customHeight="1">
      <c r="B16" s="74" t="s">
        <v>3</v>
      </c>
      <c r="C16" s="94">
        <v>22.94</v>
      </c>
      <c r="D16" s="94">
        <v>26.330000000000002</v>
      </c>
      <c r="E16" s="94">
        <v>24.669999999999998</v>
      </c>
      <c r="F16" s="94">
        <v>19.36</v>
      </c>
      <c r="G16" s="94">
        <v>12.52</v>
      </c>
      <c r="H16" s="94">
        <v>18.490000000000002</v>
      </c>
      <c r="I16" s="94">
        <v>18.830000000000002</v>
      </c>
      <c r="J16" s="94">
        <v>33.1</v>
      </c>
      <c r="K16" s="94">
        <v>29.53</v>
      </c>
      <c r="L16" s="94"/>
      <c r="M16" s="94"/>
      <c r="N16" s="49"/>
      <c r="O16" s="311"/>
      <c r="P16" s="195">
        <f t="shared" si="1"/>
        <v>0.33217189314750306</v>
      </c>
      <c r="Q16" s="195">
        <f t="shared" si="1"/>
        <v>0.9107402031930334</v>
      </c>
      <c r="R16" s="195">
        <f t="shared" si="1"/>
        <v>0.28289131565262604</v>
      </c>
      <c r="S16" s="195">
        <f t="shared" si="1"/>
        <v>0.3360938578329882</v>
      </c>
      <c r="T16" s="195">
        <f t="shared" si="1"/>
        <v>-0.14363885088919282</v>
      </c>
      <c r="U16" s="195">
        <f t="shared" si="1"/>
        <v>0.18298144593730004</v>
      </c>
      <c r="V16" s="195">
        <f t="shared" si="1"/>
        <v>-0.044647387113140535</v>
      </c>
      <c r="W16" s="195">
        <f t="shared" si="1"/>
        <v>0.24295906871948914</v>
      </c>
      <c r="X16" s="195">
        <f t="shared" si="1"/>
        <v>0.13971439598610558</v>
      </c>
      <c r="Y16" s="311"/>
    </row>
    <row r="17" spans="2:25" ht="12.75" customHeight="1">
      <c r="B17" s="74" t="s">
        <v>2</v>
      </c>
      <c r="C17" s="94">
        <v>23.54</v>
      </c>
      <c r="D17" s="94">
        <v>20.52</v>
      </c>
      <c r="E17" s="94">
        <v>21.1</v>
      </c>
      <c r="F17" s="94">
        <v>17.82</v>
      </c>
      <c r="G17" s="94">
        <v>24.35</v>
      </c>
      <c r="H17" s="94">
        <v>27.26</v>
      </c>
      <c r="I17" s="94">
        <v>34.69</v>
      </c>
      <c r="J17" s="94">
        <v>37.019999999999996</v>
      </c>
      <c r="K17" s="94">
        <v>42.55</v>
      </c>
      <c r="L17" s="94"/>
      <c r="M17" s="94"/>
      <c r="N17" s="49"/>
      <c r="O17" s="311"/>
      <c r="P17" s="195">
        <f t="shared" si="1"/>
        <v>0.02615518744550993</v>
      </c>
      <c r="Q17" s="195">
        <f t="shared" si="1"/>
        <v>-0.2206608431447019</v>
      </c>
      <c r="R17" s="195">
        <f t="shared" si="1"/>
        <v>-0.14471017430077004</v>
      </c>
      <c r="S17" s="195">
        <f t="shared" si="1"/>
        <v>-0.07954545454545447</v>
      </c>
      <c r="T17" s="195">
        <f t="shared" si="1"/>
        <v>0.9448881789137382</v>
      </c>
      <c r="U17" s="195">
        <f t="shared" si="1"/>
        <v>0.4743104380746348</v>
      </c>
      <c r="V17" s="195">
        <f t="shared" si="1"/>
        <v>0.8422729686670205</v>
      </c>
      <c r="W17" s="195">
        <f t="shared" si="1"/>
        <v>0.1184290030211479</v>
      </c>
      <c r="X17" s="195">
        <f t="shared" si="1"/>
        <v>0.4409075516423975</v>
      </c>
      <c r="Y17" s="311"/>
    </row>
    <row r="18" spans="2:25" ht="12.75" customHeight="1">
      <c r="B18" s="74" t="s">
        <v>122</v>
      </c>
      <c r="C18" s="94">
        <v>22.02</v>
      </c>
      <c r="D18" s="94">
        <v>11.26</v>
      </c>
      <c r="E18" s="94">
        <v>24.48</v>
      </c>
      <c r="F18" s="94">
        <v>15.260000000000002</v>
      </c>
      <c r="G18" s="94">
        <v>16.580000000000002</v>
      </c>
      <c r="H18" s="94">
        <v>16.84</v>
      </c>
      <c r="I18" s="94">
        <v>26.2</v>
      </c>
      <c r="J18" s="94">
        <v>36.230000000000004</v>
      </c>
      <c r="K18" s="94">
        <v>37.019999999999996</v>
      </c>
      <c r="L18" s="94"/>
      <c r="M18" s="94"/>
      <c r="N18" s="49"/>
      <c r="O18" s="311"/>
      <c r="P18" s="195">
        <f t="shared" si="1"/>
        <v>-0.06457094307561595</v>
      </c>
      <c r="Q18" s="195">
        <f t="shared" si="1"/>
        <v>-0.45126705653021437</v>
      </c>
      <c r="R18" s="195">
        <f t="shared" si="1"/>
        <v>0.16018957345971563</v>
      </c>
      <c r="S18" s="195">
        <f t="shared" si="1"/>
        <v>-0.1436588103254769</v>
      </c>
      <c r="T18" s="195">
        <f t="shared" si="1"/>
        <v>-0.31909650924024635</v>
      </c>
      <c r="U18" s="195">
        <f t="shared" si="1"/>
        <v>-0.38224504768892154</v>
      </c>
      <c r="V18" s="195">
        <f t="shared" si="1"/>
        <v>-0.24473911790141245</v>
      </c>
      <c r="W18" s="195">
        <f t="shared" si="1"/>
        <v>-0.021339816315504967</v>
      </c>
      <c r="X18" s="195">
        <f t="shared" si="1"/>
        <v>-0.1299647473560518</v>
      </c>
      <c r="Y18" s="311"/>
    </row>
    <row r="19" spans="2:25" ht="12.75" customHeight="1">
      <c r="B19" s="74" t="s">
        <v>131</v>
      </c>
      <c r="C19" s="94">
        <v>20.37043201224156</v>
      </c>
      <c r="D19" s="94">
        <v>14.861034346434494</v>
      </c>
      <c r="E19" s="94">
        <v>22.069840622540045</v>
      </c>
      <c r="F19" s="94">
        <v>20.40363304091236</v>
      </c>
      <c r="G19" s="94">
        <v>22.892935432721355</v>
      </c>
      <c r="H19" s="94">
        <v>18.231266095438755</v>
      </c>
      <c r="I19" s="94">
        <v>21.75681235539536</v>
      </c>
      <c r="J19" s="94">
        <v>22.80581042314713</v>
      </c>
      <c r="K19" s="94">
        <v>33.98124349810817</v>
      </c>
      <c r="L19" s="94"/>
      <c r="M19" s="94"/>
      <c r="N19" s="49"/>
      <c r="O19" s="311"/>
      <c r="P19" s="195">
        <f t="shared" si="1"/>
        <v>-0.07491226102445225</v>
      </c>
      <c r="Q19" s="195">
        <f t="shared" si="1"/>
        <v>0.3198076684222464</v>
      </c>
      <c r="R19" s="195">
        <f t="shared" si="1"/>
        <v>-0.09845422293545569</v>
      </c>
      <c r="S19" s="195">
        <f t="shared" si="1"/>
        <v>0.3370663853808884</v>
      </c>
      <c r="T19" s="195">
        <f t="shared" si="1"/>
        <v>0.3807560574620841</v>
      </c>
      <c r="U19" s="195">
        <f t="shared" si="1"/>
        <v>0.08261675151061487</v>
      </c>
      <c r="V19" s="195">
        <f t="shared" si="1"/>
        <v>-0.16958731467956634</v>
      </c>
      <c r="W19" s="195">
        <f t="shared" si="1"/>
        <v>-0.3705268997199247</v>
      </c>
      <c r="X19" s="195">
        <f t="shared" si="1"/>
        <v>-0.08208418427584618</v>
      </c>
      <c r="Y19" s="311"/>
    </row>
    <row r="20" spans="2:25" ht="12.75" customHeight="1">
      <c r="B20" s="74" t="s">
        <v>146</v>
      </c>
      <c r="C20" s="94">
        <v>21.5</v>
      </c>
      <c r="D20" s="94">
        <v>12.209999999999999</v>
      </c>
      <c r="E20" s="94">
        <v>23.61</v>
      </c>
      <c r="F20" s="94">
        <v>12.64</v>
      </c>
      <c r="G20" s="94">
        <v>12.79</v>
      </c>
      <c r="H20" s="94">
        <v>15.45</v>
      </c>
      <c r="I20" s="94">
        <v>20.84</v>
      </c>
      <c r="J20" s="94">
        <v>25.14</v>
      </c>
      <c r="K20" s="94">
        <v>31.990000000000002</v>
      </c>
      <c r="L20" s="94">
        <v>9.120669577874818</v>
      </c>
      <c r="M20" s="94"/>
      <c r="N20" s="49"/>
      <c r="O20" s="311"/>
      <c r="P20" s="195">
        <f t="shared" si="1"/>
        <v>0.05545135160018333</v>
      </c>
      <c r="Q20" s="195">
        <f t="shared" si="1"/>
        <v>-0.17838827935086088</v>
      </c>
      <c r="R20" s="195">
        <f t="shared" si="1"/>
        <v>0.06978570456403665</v>
      </c>
      <c r="S20" s="195">
        <f t="shared" si="1"/>
        <v>-0.3805024833246661</v>
      </c>
      <c r="T20" s="195">
        <f t="shared" si="1"/>
        <v>-0.4413123630393426</v>
      </c>
      <c r="U20" s="195">
        <f t="shared" si="1"/>
        <v>-0.15255474199537877</v>
      </c>
      <c r="V20" s="195">
        <f t="shared" si="1"/>
        <v>-0.04213909374311475</v>
      </c>
      <c r="W20" s="195">
        <f t="shared" si="1"/>
        <v>0.10235065246722153</v>
      </c>
      <c r="X20" s="195">
        <f t="shared" si="1"/>
        <v>-0.0585983116897717</v>
      </c>
      <c r="Y20" s="311"/>
    </row>
    <row r="21" spans="2:25" ht="12.75" customHeight="1">
      <c r="B21" s="74" t="s">
        <v>179</v>
      </c>
      <c r="C21" s="94">
        <v>23.15</v>
      </c>
      <c r="D21" s="94">
        <v>15.08</v>
      </c>
      <c r="E21" s="94">
        <v>22.86</v>
      </c>
      <c r="F21" s="94">
        <v>16.31</v>
      </c>
      <c r="G21" s="94">
        <v>16.44</v>
      </c>
      <c r="H21" s="94">
        <v>15.78</v>
      </c>
      <c r="I21" s="94">
        <v>18.21</v>
      </c>
      <c r="J21" s="94">
        <v>17.8</v>
      </c>
      <c r="K21" s="94">
        <v>25.64</v>
      </c>
      <c r="L21" s="94">
        <v>9.12</v>
      </c>
      <c r="M21" s="94"/>
      <c r="N21" s="49"/>
      <c r="O21" s="311"/>
      <c r="P21" s="195">
        <f t="shared" si="1"/>
        <v>0.07674418604651145</v>
      </c>
      <c r="Q21" s="195">
        <f t="shared" si="1"/>
        <v>0.23505323505323505</v>
      </c>
      <c r="R21" s="195">
        <f t="shared" si="1"/>
        <v>-0.031766200762388785</v>
      </c>
      <c r="S21" s="195">
        <f t="shared" si="1"/>
        <v>0.29034810126582267</v>
      </c>
      <c r="T21" s="195">
        <f t="shared" si="1"/>
        <v>0.2853792025019548</v>
      </c>
      <c r="U21" s="195">
        <f t="shared" si="1"/>
        <v>0.021359223300970953</v>
      </c>
      <c r="V21" s="195">
        <f t="shared" si="1"/>
        <v>-0.1261996161228407</v>
      </c>
      <c r="W21" s="195">
        <f t="shared" si="1"/>
        <v>-0.2919649960222752</v>
      </c>
      <c r="X21" s="195">
        <f t="shared" si="1"/>
        <v>-0.19849953110346985</v>
      </c>
      <c r="Y21" s="311"/>
    </row>
    <row r="22" spans="2:25" ht="12.75" customHeight="1">
      <c r="B22" s="74" t="s">
        <v>199</v>
      </c>
      <c r="C22" s="94">
        <v>24.23</v>
      </c>
      <c r="D22" s="94">
        <v>17.81</v>
      </c>
      <c r="E22" s="94">
        <v>17.2</v>
      </c>
      <c r="F22" s="94">
        <v>13.73</v>
      </c>
      <c r="G22" s="94">
        <v>16.919999999999998</v>
      </c>
      <c r="H22" s="94">
        <v>14.809999999999999</v>
      </c>
      <c r="I22" s="94">
        <v>22.619999999999997</v>
      </c>
      <c r="J22" s="94">
        <v>22</v>
      </c>
      <c r="K22" s="94">
        <v>33.2</v>
      </c>
      <c r="L22" s="94">
        <v>9.120000000000001</v>
      </c>
      <c r="M22" s="94"/>
      <c r="N22" s="49"/>
      <c r="O22" s="311"/>
      <c r="P22" s="195">
        <f>+C22/C21-1</f>
        <v>0.046652267818574567</v>
      </c>
      <c r="Q22" s="195">
        <f>+D22/D21-1</f>
        <v>0.18103448275862055</v>
      </c>
      <c r="R22" s="195">
        <f>+E22/E21-1</f>
        <v>-0.24759405074365703</v>
      </c>
      <c r="S22" s="195">
        <f>+F22/F21-1</f>
        <v>-0.15818516247700787</v>
      </c>
      <c r="T22" s="195">
        <f>+G22/G21-1</f>
        <v>0.029197080291970545</v>
      </c>
      <c r="U22" s="195">
        <f>+H22/H21-1</f>
        <v>-0.06147021546261089</v>
      </c>
      <c r="V22" s="195">
        <f>+I22/I21-1</f>
        <v>0.2421746293245468</v>
      </c>
      <c r="W22" s="195">
        <f>+J22/J21-1</f>
        <v>0.2359550561797752</v>
      </c>
      <c r="X22" s="195">
        <f>+K22/K21-1</f>
        <v>0.294851794071763</v>
      </c>
      <c r="Y22" s="311"/>
    </row>
    <row r="23" spans="2:12" ht="35.25" customHeight="1">
      <c r="B23" s="375" t="s">
        <v>273</v>
      </c>
      <c r="C23" s="376"/>
      <c r="D23" s="376"/>
      <c r="E23" s="376"/>
      <c r="F23" s="376"/>
      <c r="G23" s="376"/>
      <c r="H23" s="376"/>
      <c r="I23" s="376"/>
      <c r="J23" s="376"/>
      <c r="K23" s="376"/>
      <c r="L23" s="376"/>
    </row>
    <row r="24" spans="2:11" ht="12.75" customHeight="1">
      <c r="B24" s="307"/>
      <c r="C24" s="308"/>
      <c r="D24" s="308"/>
      <c r="E24" s="308"/>
      <c r="F24" s="308"/>
      <c r="G24" s="308"/>
      <c r="H24" s="50"/>
      <c r="I24" s="50"/>
      <c r="J24" s="50"/>
      <c r="K24" s="50"/>
    </row>
    <row r="25" spans="2:11" ht="12.75">
      <c r="B25" s="2"/>
      <c r="C25" s="2"/>
      <c r="D25" s="2"/>
      <c r="E25" s="2"/>
      <c r="F25" s="2"/>
      <c r="G25" s="2"/>
      <c r="H25" s="2"/>
      <c r="I25" s="2"/>
      <c r="J25" s="2"/>
      <c r="K25" s="2"/>
    </row>
    <row r="30" ht="12.75">
      <c r="P30" s="330"/>
    </row>
    <row r="45" ht="12.75">
      <c r="N45" s="2"/>
    </row>
    <row r="46" ht="12.75">
      <c r="B46" s="294" t="s">
        <v>261</v>
      </c>
    </row>
    <row r="49" spans="3:12" ht="12.75">
      <c r="C49" s="165"/>
      <c r="D49" s="165"/>
      <c r="E49" s="165"/>
      <c r="F49" s="165"/>
      <c r="G49" s="165"/>
      <c r="H49" s="165"/>
      <c r="I49" s="165"/>
      <c r="J49" s="165"/>
      <c r="K49" s="165"/>
      <c r="L49" s="165"/>
    </row>
    <row r="50" spans="3:12" ht="12.75">
      <c r="C50" s="94"/>
      <c r="D50" s="94"/>
      <c r="E50" s="94"/>
      <c r="F50" s="94"/>
      <c r="G50" s="94"/>
      <c r="H50" s="94"/>
      <c r="I50" s="94"/>
      <c r="J50" s="94"/>
      <c r="K50" s="94"/>
      <c r="L50" s="94"/>
    </row>
  </sheetData>
  <sheetProtection/>
  <mergeCells count="5">
    <mergeCell ref="B6:B7"/>
    <mergeCell ref="B3:L3"/>
    <mergeCell ref="B2:L2"/>
    <mergeCell ref="B4:L4"/>
    <mergeCell ref="B23:L23"/>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4"/>
  <sheetViews>
    <sheetView zoomScale="80" zoomScaleNormal="80" zoomScalePageLayoutView="0" workbookViewId="0" topLeftCell="A1">
      <selection activeCell="A1" sqref="A1"/>
    </sheetView>
  </sheetViews>
  <sheetFormatPr defaultColWidth="11.421875" defaultRowHeight="15"/>
  <cols>
    <col min="1" max="1" width="1.1484375" style="35" customWidth="1"/>
    <col min="2" max="2" width="42.140625" style="35" customWidth="1"/>
    <col min="3" max="5" width="28.7109375" style="35" customWidth="1"/>
    <col min="6" max="6" width="4.00390625" style="35" customWidth="1"/>
    <col min="7" max="7" width="14.421875" style="35" customWidth="1"/>
    <col min="8" max="16384" width="11.421875" style="35" customWidth="1"/>
  </cols>
  <sheetData>
    <row r="1" ht="6.75" customHeight="1"/>
    <row r="2" spans="2:7" ht="12.75">
      <c r="B2" s="387" t="s">
        <v>234</v>
      </c>
      <c r="C2" s="387"/>
      <c r="D2" s="387"/>
      <c r="E2" s="387"/>
      <c r="G2" s="48" t="s">
        <v>152</v>
      </c>
    </row>
    <row r="3" spans="2:7" ht="12.75">
      <c r="B3" s="387" t="s">
        <v>235</v>
      </c>
      <c r="C3" s="387"/>
      <c r="D3" s="387"/>
      <c r="E3" s="387"/>
      <c r="G3" s="48"/>
    </row>
    <row r="4" spans="2:5" ht="12.75">
      <c r="B4" s="387" t="s">
        <v>264</v>
      </c>
      <c r="C4" s="387"/>
      <c r="D4" s="387"/>
      <c r="E4" s="387"/>
    </row>
    <row r="6" spans="3:5" ht="38.25">
      <c r="C6" s="210" t="s">
        <v>214</v>
      </c>
      <c r="D6" s="210" t="s">
        <v>215</v>
      </c>
      <c r="E6" s="210" t="s">
        <v>263</v>
      </c>
    </row>
    <row r="7" spans="2:5" ht="12.75">
      <c r="B7" s="211" t="s">
        <v>156</v>
      </c>
      <c r="C7" s="212">
        <v>26</v>
      </c>
      <c r="D7" s="212">
        <v>30</v>
      </c>
      <c r="E7" s="212">
        <v>30</v>
      </c>
    </row>
    <row r="8" spans="2:5" ht="12.75">
      <c r="B8" s="211" t="s">
        <v>202</v>
      </c>
      <c r="C8" s="213">
        <v>998000</v>
      </c>
      <c r="D8" s="213">
        <v>803000</v>
      </c>
      <c r="E8" s="213">
        <v>648000</v>
      </c>
    </row>
    <row r="9" spans="2:5" ht="12.75">
      <c r="B9" s="211" t="s">
        <v>203</v>
      </c>
      <c r="C9" s="213">
        <v>612000</v>
      </c>
      <c r="D9" s="213">
        <v>515000</v>
      </c>
      <c r="E9" s="213">
        <v>651000</v>
      </c>
    </row>
    <row r="10" spans="2:5" ht="12.75">
      <c r="B10" s="211" t="s">
        <v>204</v>
      </c>
      <c r="C10" s="213">
        <v>1718582</v>
      </c>
      <c r="D10" s="213">
        <v>1491125</v>
      </c>
      <c r="E10" s="213">
        <v>2349219</v>
      </c>
    </row>
    <row r="11" spans="2:5" ht="14.25">
      <c r="B11" s="214" t="s">
        <v>247</v>
      </c>
      <c r="C11" s="213">
        <f>124821.825+166429.1</f>
        <v>291250.925</v>
      </c>
      <c r="D11" s="213">
        <v>266866.8275</v>
      </c>
      <c r="E11" s="213">
        <v>346581</v>
      </c>
    </row>
    <row r="12" spans="2:5" ht="12.75">
      <c r="B12" s="215" t="s">
        <v>205</v>
      </c>
      <c r="C12" s="216">
        <f>SUM(C8:C11)</f>
        <v>3619832.925</v>
      </c>
      <c r="D12" s="216">
        <f>SUM(D8:D11)</f>
        <v>3075991.8275</v>
      </c>
      <c r="E12" s="216">
        <f>SUM(E8:E11)</f>
        <v>3994800</v>
      </c>
    </row>
    <row r="13" spans="2:5" ht="14.25">
      <c r="B13" s="211" t="s">
        <v>219</v>
      </c>
      <c r="C13" s="236">
        <f>+AVERAGE('precio mayorista3'!F15:G35)/50</f>
        <v>115.4425701075269</v>
      </c>
      <c r="D13" s="236">
        <f>+AVERAGE('precio mayorista3'!H15:H35)/50</f>
        <v>82.6077380952381</v>
      </c>
      <c r="E13" s="236">
        <f>+AVERAGE('precio mayorista3'!I15:J35)/50</f>
        <v>93.08872692307693</v>
      </c>
    </row>
    <row r="14" spans="2:5" ht="12.75">
      <c r="B14" s="217" t="s">
        <v>206</v>
      </c>
      <c r="C14" s="216">
        <f>C13*C7*1000</f>
        <v>3001506.8227956994</v>
      </c>
      <c r="D14" s="216">
        <f>D13*D7*1000</f>
        <v>2478232.142857143</v>
      </c>
      <c r="E14" s="216">
        <f>E13*E7*1000</f>
        <v>2792661.807692308</v>
      </c>
    </row>
    <row r="15" spans="2:5" ht="12.75">
      <c r="B15" s="217" t="s">
        <v>207</v>
      </c>
      <c r="C15" s="218">
        <f>C14-C12</f>
        <v>-618326.1022043005</v>
      </c>
      <c r="D15" s="218">
        <f>D14-D12</f>
        <v>-597759.6846428569</v>
      </c>
      <c r="E15" s="218">
        <f>E14-E12</f>
        <v>-1202138.192307692</v>
      </c>
    </row>
    <row r="16" spans="2:5" ht="12.75">
      <c r="B16" s="219"/>
      <c r="C16" s="220"/>
      <c r="D16" s="220"/>
      <c r="E16" s="220"/>
    </row>
    <row r="17" spans="2:5" ht="26.25" customHeight="1">
      <c r="B17" s="384" t="s">
        <v>216</v>
      </c>
      <c r="C17" s="385"/>
      <c r="D17" s="385"/>
      <c r="E17" s="386"/>
    </row>
    <row r="18" spans="2:5" ht="12.75">
      <c r="B18" s="382" t="s">
        <v>208</v>
      </c>
      <c r="C18" s="388" t="s">
        <v>236</v>
      </c>
      <c r="D18" s="389"/>
      <c r="E18" s="390"/>
    </row>
    <row r="19" spans="2:5" ht="12.75">
      <c r="B19" s="383"/>
      <c r="C19" s="269">
        <v>120</v>
      </c>
      <c r="D19" s="269">
        <v>130</v>
      </c>
      <c r="E19" s="269">
        <v>140</v>
      </c>
    </row>
    <row r="20" spans="2:5" ht="12.75">
      <c r="B20" s="221">
        <v>20000</v>
      </c>
      <c r="C20" s="226">
        <f aca="true" t="shared" si="0" ref="C20:E22">+$B20*C$19-$C$12</f>
        <v>-1219832.9249999998</v>
      </c>
      <c r="D20" s="226">
        <f t="shared" si="0"/>
        <v>-1019832.9249999998</v>
      </c>
      <c r="E20" s="226">
        <f t="shared" si="0"/>
        <v>-819832.9249999998</v>
      </c>
    </row>
    <row r="21" spans="2:5" ht="12.75">
      <c r="B21" s="221">
        <v>25000</v>
      </c>
      <c r="C21" s="226">
        <f t="shared" si="0"/>
        <v>-619832.9249999998</v>
      </c>
      <c r="D21" s="226">
        <f t="shared" si="0"/>
        <v>-369832.9249999998</v>
      </c>
      <c r="E21" s="226">
        <f t="shared" si="0"/>
        <v>-119832.92499999981</v>
      </c>
    </row>
    <row r="22" spans="2:5" ht="12.75">
      <c r="B22" s="221">
        <v>30000</v>
      </c>
      <c r="C22" s="226">
        <f t="shared" si="0"/>
        <v>-19832.924999999814</v>
      </c>
      <c r="D22" s="226">
        <f t="shared" si="0"/>
        <v>280167.0750000002</v>
      </c>
      <c r="E22" s="226">
        <f t="shared" si="0"/>
        <v>580167.0750000002</v>
      </c>
    </row>
    <row r="23" spans="2:5" ht="12.75">
      <c r="B23" s="224"/>
      <c r="C23" s="225"/>
      <c r="D23" s="225"/>
      <c r="E23" s="225"/>
    </row>
    <row r="24" spans="2:5" ht="15" customHeight="1">
      <c r="B24" s="384" t="s">
        <v>222</v>
      </c>
      <c r="C24" s="385"/>
      <c r="D24" s="385"/>
      <c r="E24" s="386"/>
    </row>
    <row r="25" spans="2:5" ht="12.75">
      <c r="B25" s="267" t="s">
        <v>218</v>
      </c>
      <c r="C25" s="268">
        <f>+B20</f>
        <v>20000</v>
      </c>
      <c r="D25" s="268">
        <f>+B21</f>
        <v>25000</v>
      </c>
      <c r="E25" s="268">
        <f>+B22</f>
        <v>30000</v>
      </c>
    </row>
    <row r="26" spans="2:5" ht="12.75">
      <c r="B26" s="227" t="s">
        <v>221</v>
      </c>
      <c r="C26" s="226">
        <f>+$C12/C25</f>
        <v>180.99164625</v>
      </c>
      <c r="D26" s="226">
        <f>+$C12/D25</f>
        <v>144.793317</v>
      </c>
      <c r="E26" s="226">
        <f>+$C12/E25</f>
        <v>120.6610975</v>
      </c>
    </row>
    <row r="27" spans="2:5" ht="12.75">
      <c r="B27" s="222" t="s">
        <v>217</v>
      </c>
      <c r="C27" s="222"/>
      <c r="D27" s="222"/>
      <c r="E27" s="222"/>
    </row>
    <row r="28" spans="2:5" ht="12.75">
      <c r="B28" s="223" t="s">
        <v>209</v>
      </c>
      <c r="C28" s="223"/>
      <c r="D28" s="223"/>
      <c r="E28" s="223"/>
    </row>
    <row r="29" spans="2:5" ht="12.75">
      <c r="B29" s="391" t="s">
        <v>226</v>
      </c>
      <c r="C29" s="391"/>
      <c r="D29" s="391"/>
      <c r="E29" s="391"/>
    </row>
    <row r="30" spans="2:5" ht="26.25" customHeight="1">
      <c r="B30" s="392" t="s">
        <v>248</v>
      </c>
      <c r="C30" s="392"/>
      <c r="D30" s="392"/>
      <c r="E30" s="392"/>
    </row>
    <row r="31" spans="2:5" ht="12.75">
      <c r="B31" s="391" t="s">
        <v>262</v>
      </c>
      <c r="C31" s="391"/>
      <c r="D31" s="391"/>
      <c r="E31" s="391"/>
    </row>
    <row r="32" spans="2:5" ht="12.75">
      <c r="B32" s="391" t="s">
        <v>227</v>
      </c>
      <c r="C32" s="391"/>
      <c r="D32" s="391"/>
      <c r="E32" s="391"/>
    </row>
    <row r="33" spans="2:5" ht="12.75">
      <c r="B33" s="391" t="s">
        <v>210</v>
      </c>
      <c r="C33" s="391"/>
      <c r="D33" s="391"/>
      <c r="E33" s="391"/>
    </row>
    <row r="34" spans="2:5" ht="12.75">
      <c r="B34" s="391" t="s">
        <v>220</v>
      </c>
      <c r="C34" s="391"/>
      <c r="D34" s="391"/>
      <c r="E34" s="391"/>
    </row>
  </sheetData>
  <sheetProtection/>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71" r:id="rId1"/>
</worksheet>
</file>

<file path=xl/worksheets/sheet16.xml><?xml version="1.0" encoding="utf-8"?>
<worksheet xmlns="http://schemas.openxmlformats.org/spreadsheetml/2006/main" xmlns:r="http://schemas.openxmlformats.org/officeDocument/2006/relationships">
  <sheetPr>
    <pageSetUpPr fitToPage="1"/>
  </sheetPr>
  <dimension ref="B2:R42"/>
  <sheetViews>
    <sheetView zoomScale="80" zoomScaleNormal="80" zoomScalePageLayoutView="70" workbookViewId="0" topLeftCell="A1">
      <selection activeCell="A1" sqref="A1"/>
    </sheetView>
  </sheetViews>
  <sheetFormatPr defaultColWidth="10.8515625" defaultRowHeight="15"/>
  <cols>
    <col min="1" max="1" width="1.421875" style="35" customWidth="1"/>
    <col min="2" max="2" width="17.8515625" style="35" customWidth="1"/>
    <col min="3" max="3" width="23.00390625" style="35" customWidth="1"/>
    <col min="4" max="4" width="9.8515625" style="35" bestFit="1" customWidth="1"/>
    <col min="5" max="6" width="10.421875" style="35" customWidth="1"/>
    <col min="7" max="7" width="10.57421875" style="35" customWidth="1"/>
    <col min="8" max="9" width="11.28125" style="35" customWidth="1"/>
    <col min="10" max="10" width="11.00390625" style="35" customWidth="1"/>
    <col min="11" max="11" width="10.00390625" style="35" customWidth="1"/>
    <col min="12" max="12" width="2.140625" style="35" customWidth="1"/>
    <col min="13" max="13" width="10.8515625" style="35" customWidth="1"/>
    <col min="14" max="14" width="8.7109375" style="171" customWidth="1"/>
    <col min="15" max="17" width="10.8515625" style="273" hidden="1" customWidth="1"/>
    <col min="18" max="18" width="10.8515625" style="171" customWidth="1"/>
    <col min="19" max="16384" width="10.8515625" style="35" customWidth="1"/>
  </cols>
  <sheetData>
    <row r="1" ht="5.25" customHeight="1"/>
    <row r="2" spans="2:13" ht="12.75">
      <c r="B2" s="394" t="s">
        <v>211</v>
      </c>
      <c r="C2" s="394"/>
      <c r="D2" s="394"/>
      <c r="E2" s="394"/>
      <c r="F2" s="394"/>
      <c r="G2" s="394"/>
      <c r="H2" s="394"/>
      <c r="I2" s="394"/>
      <c r="J2" s="394"/>
      <c r="K2" s="394"/>
      <c r="L2" s="121"/>
      <c r="M2" s="48" t="s">
        <v>152</v>
      </c>
    </row>
    <row r="3" spans="2:13" ht="12.75">
      <c r="B3" s="121"/>
      <c r="C3" s="121"/>
      <c r="D3" s="121"/>
      <c r="E3" s="121"/>
      <c r="F3" s="121"/>
      <c r="G3" s="121"/>
      <c r="H3" s="121"/>
      <c r="I3" s="121"/>
      <c r="J3" s="121"/>
      <c r="K3" s="121"/>
      <c r="L3" s="121"/>
      <c r="M3" s="48"/>
    </row>
    <row r="4" spans="2:12" ht="12.75">
      <c r="B4" s="398" t="s">
        <v>71</v>
      </c>
      <c r="C4" s="400" t="s">
        <v>72</v>
      </c>
      <c r="D4" s="395" t="s">
        <v>73</v>
      </c>
      <c r="E4" s="396"/>
      <c r="F4" s="396"/>
      <c r="G4" s="397"/>
      <c r="H4" s="395" t="s">
        <v>74</v>
      </c>
      <c r="I4" s="396"/>
      <c r="J4" s="396"/>
      <c r="K4" s="397"/>
      <c r="L4" s="121"/>
    </row>
    <row r="5" spans="2:17" ht="27.75" customHeight="1">
      <c r="B5" s="399"/>
      <c r="C5" s="401"/>
      <c r="D5" s="239" t="s">
        <v>265</v>
      </c>
      <c r="E5" s="240" t="s">
        <v>266</v>
      </c>
      <c r="F5" s="240" t="s">
        <v>267</v>
      </c>
      <c r="G5" s="241" t="s">
        <v>44</v>
      </c>
      <c r="H5" s="239" t="str">
        <f>+D5</f>
        <v>2016</v>
      </c>
      <c r="I5" s="242" t="str">
        <f>+E5</f>
        <v>ene 2016</v>
      </c>
      <c r="J5" s="242" t="str">
        <f>+F5</f>
        <v>ene 2017</v>
      </c>
      <c r="K5" s="243" t="s">
        <v>44</v>
      </c>
      <c r="L5" s="122"/>
      <c r="M5" s="44"/>
      <c r="O5" s="274" t="s">
        <v>268</v>
      </c>
      <c r="P5" s="274" t="s">
        <v>269</v>
      </c>
      <c r="Q5" s="277" t="s">
        <v>270</v>
      </c>
    </row>
    <row r="6" spans="2:17" ht="12.75" customHeight="1">
      <c r="B6" s="393" t="s">
        <v>91</v>
      </c>
      <c r="C6" s="158" t="s">
        <v>79</v>
      </c>
      <c r="D6" s="251">
        <v>528974.6</v>
      </c>
      <c r="E6" s="252">
        <v>27769.28</v>
      </c>
      <c r="F6" s="252">
        <v>27796.7</v>
      </c>
      <c r="G6" s="253">
        <v>0.09874220721604043</v>
      </c>
      <c r="H6" s="251">
        <v>3238323.51</v>
      </c>
      <c r="I6" s="252">
        <v>179629.88</v>
      </c>
      <c r="J6" s="252">
        <v>177917.1</v>
      </c>
      <c r="K6" s="253">
        <v>-0.9535050627434538</v>
      </c>
      <c r="L6" s="123"/>
      <c r="O6" s="275">
        <f>+F6-E6</f>
        <v>27.42000000000189</v>
      </c>
      <c r="P6" s="275">
        <f>+J6-I6</f>
        <v>-1712.7799999999988</v>
      </c>
      <c r="Q6" s="276">
        <f>+IF(F6=0,0,J6/F6)</f>
        <v>6.400655473491458</v>
      </c>
    </row>
    <row r="7" spans="2:17" ht="12.75">
      <c r="B7" s="393"/>
      <c r="C7" s="264" t="s">
        <v>92</v>
      </c>
      <c r="D7" s="254">
        <v>95337.14</v>
      </c>
      <c r="E7" s="255">
        <v>22840</v>
      </c>
      <c r="F7" s="255">
        <v>5167.56</v>
      </c>
      <c r="G7" s="256">
        <v>-77.37495621716288</v>
      </c>
      <c r="H7" s="254">
        <v>348252.63</v>
      </c>
      <c r="I7" s="255">
        <v>82983.36</v>
      </c>
      <c r="J7" s="255">
        <v>19664.04</v>
      </c>
      <c r="K7" s="256">
        <v>-76.3036348492035</v>
      </c>
      <c r="L7" s="123"/>
      <c r="O7" s="275">
        <f aca="true" t="shared" si="0" ref="O7:O40">+F7-E7</f>
        <v>-17672.44</v>
      </c>
      <c r="P7" s="275">
        <f aca="true" t="shared" si="1" ref="P7:P40">+J7-I7</f>
        <v>-63319.32</v>
      </c>
      <c r="Q7" s="276">
        <f aca="true" t="shared" si="2" ref="Q7:Q40">+IF(F7=0,0,J7/F7)</f>
        <v>3.8052852797064762</v>
      </c>
    </row>
    <row r="8" spans="2:17" ht="12.75" customHeight="1">
      <c r="B8" s="393"/>
      <c r="C8" s="264" t="s">
        <v>90</v>
      </c>
      <c r="D8" s="254">
        <v>17916.32</v>
      </c>
      <c r="E8" s="255">
        <v>1027.04</v>
      </c>
      <c r="F8" s="255">
        <v>1645.28</v>
      </c>
      <c r="G8" s="256">
        <v>60.19629225736096</v>
      </c>
      <c r="H8" s="254">
        <v>117060.66</v>
      </c>
      <c r="I8" s="255">
        <v>7901.88</v>
      </c>
      <c r="J8" s="255">
        <v>11557.6</v>
      </c>
      <c r="K8" s="256">
        <v>46.263927065457835</v>
      </c>
      <c r="L8" s="123"/>
      <c r="O8" s="275">
        <f t="shared" si="0"/>
        <v>618.24</v>
      </c>
      <c r="P8" s="275">
        <f t="shared" si="1"/>
        <v>3655.7200000000003</v>
      </c>
      <c r="Q8" s="276">
        <f t="shared" si="2"/>
        <v>7.024700962754061</v>
      </c>
    </row>
    <row r="9" spans="2:17" ht="12.75" customHeight="1">
      <c r="B9" s="393"/>
      <c r="C9" s="264" t="s">
        <v>77</v>
      </c>
      <c r="D9" s="254">
        <v>13053.04</v>
      </c>
      <c r="E9" s="255">
        <v>0</v>
      </c>
      <c r="F9" s="255">
        <v>0</v>
      </c>
      <c r="G9" s="256" t="s">
        <v>147</v>
      </c>
      <c r="H9" s="254">
        <v>106789.83</v>
      </c>
      <c r="I9" s="255">
        <v>0</v>
      </c>
      <c r="J9" s="255">
        <v>0</v>
      </c>
      <c r="K9" s="256" t="s">
        <v>147</v>
      </c>
      <c r="L9" s="123"/>
      <c r="O9" s="275">
        <f t="shared" si="0"/>
        <v>0</v>
      </c>
      <c r="P9" s="275">
        <f t="shared" si="1"/>
        <v>0</v>
      </c>
      <c r="Q9" s="276">
        <f t="shared" si="2"/>
        <v>0</v>
      </c>
    </row>
    <row r="10" spans="2:17" ht="12.75">
      <c r="B10" s="393"/>
      <c r="C10" s="264" t="s">
        <v>127</v>
      </c>
      <c r="D10" s="254">
        <v>12506.88</v>
      </c>
      <c r="E10" s="255">
        <v>0</v>
      </c>
      <c r="F10" s="255">
        <v>0</v>
      </c>
      <c r="G10" s="256" t="s">
        <v>147</v>
      </c>
      <c r="H10" s="254">
        <v>30755.9</v>
      </c>
      <c r="I10" s="255">
        <v>0</v>
      </c>
      <c r="J10" s="255">
        <v>0</v>
      </c>
      <c r="K10" s="256" t="s">
        <v>147</v>
      </c>
      <c r="L10" s="123"/>
      <c r="O10" s="275">
        <f t="shared" si="0"/>
        <v>0</v>
      </c>
      <c r="P10" s="275">
        <f t="shared" si="1"/>
        <v>0</v>
      </c>
      <c r="Q10" s="276">
        <f t="shared" si="2"/>
        <v>0</v>
      </c>
    </row>
    <row r="11" spans="2:17" ht="12.75">
      <c r="B11" s="393"/>
      <c r="C11" s="264" t="s">
        <v>121</v>
      </c>
      <c r="D11" s="254">
        <v>205.6</v>
      </c>
      <c r="E11" s="255">
        <v>205.6</v>
      </c>
      <c r="F11" s="255">
        <v>0</v>
      </c>
      <c r="G11" s="256">
        <v>-100</v>
      </c>
      <c r="H11" s="254">
        <v>2159.7</v>
      </c>
      <c r="I11" s="255">
        <v>2159.7</v>
      </c>
      <c r="J11" s="255">
        <v>0</v>
      </c>
      <c r="K11" s="256">
        <v>-100</v>
      </c>
      <c r="L11" s="123"/>
      <c r="O11" s="275">
        <f t="shared" si="0"/>
        <v>-205.6</v>
      </c>
      <c r="P11" s="275">
        <f t="shared" si="1"/>
        <v>-2159.7</v>
      </c>
      <c r="Q11" s="276">
        <f t="shared" si="2"/>
        <v>0</v>
      </c>
    </row>
    <row r="12" spans="2:17" ht="12.75">
      <c r="B12" s="393"/>
      <c r="C12" s="264" t="s">
        <v>87</v>
      </c>
      <c r="D12" s="254">
        <v>121.52</v>
      </c>
      <c r="E12" s="255">
        <v>0</v>
      </c>
      <c r="F12" s="255">
        <v>0</v>
      </c>
      <c r="G12" s="256" t="s">
        <v>147</v>
      </c>
      <c r="H12" s="254">
        <v>851.16</v>
      </c>
      <c r="I12" s="255">
        <v>0</v>
      </c>
      <c r="J12" s="255">
        <v>0</v>
      </c>
      <c r="K12" s="256" t="s">
        <v>147</v>
      </c>
      <c r="L12" s="123"/>
      <c r="O12" s="275">
        <f t="shared" si="0"/>
        <v>0</v>
      </c>
      <c r="P12" s="275">
        <f t="shared" si="1"/>
        <v>0</v>
      </c>
      <c r="Q12" s="276">
        <f t="shared" si="2"/>
        <v>0</v>
      </c>
    </row>
    <row r="13" spans="2:17" ht="12.75">
      <c r="B13" s="393"/>
      <c r="C13" s="264" t="s">
        <v>76</v>
      </c>
      <c r="D13" s="254">
        <v>137.3</v>
      </c>
      <c r="E13" s="255">
        <v>0</v>
      </c>
      <c r="F13" s="255">
        <v>0</v>
      </c>
      <c r="G13" s="256" t="s">
        <v>147</v>
      </c>
      <c r="H13" s="254">
        <v>846.56</v>
      </c>
      <c r="I13" s="255">
        <v>0</v>
      </c>
      <c r="J13" s="255">
        <v>0</v>
      </c>
      <c r="K13" s="256" t="s">
        <v>147</v>
      </c>
      <c r="L13" s="123"/>
      <c r="O13" s="275">
        <f t="shared" si="0"/>
        <v>0</v>
      </c>
      <c r="P13" s="275">
        <f t="shared" si="1"/>
        <v>0</v>
      </c>
      <c r="Q13" s="276">
        <f t="shared" si="2"/>
        <v>0</v>
      </c>
    </row>
    <row r="14" spans="2:17" ht="12.75">
      <c r="B14" s="393"/>
      <c r="C14" s="264" t="s">
        <v>80</v>
      </c>
      <c r="D14" s="254">
        <v>600</v>
      </c>
      <c r="E14" s="255">
        <v>0</v>
      </c>
      <c r="F14" s="255">
        <v>0</v>
      </c>
      <c r="G14" s="256" t="s">
        <v>147</v>
      </c>
      <c r="H14" s="254">
        <v>700</v>
      </c>
      <c r="I14" s="255">
        <v>0</v>
      </c>
      <c r="J14" s="255">
        <v>0</v>
      </c>
      <c r="K14" s="256" t="s">
        <v>147</v>
      </c>
      <c r="L14" s="124"/>
      <c r="O14" s="275">
        <f t="shared" si="0"/>
        <v>0</v>
      </c>
      <c r="P14" s="275">
        <f t="shared" si="1"/>
        <v>0</v>
      </c>
      <c r="Q14" s="276">
        <f t="shared" si="2"/>
        <v>0</v>
      </c>
    </row>
    <row r="15" spans="2:17" ht="12.75" customHeight="1">
      <c r="B15" s="393"/>
      <c r="C15" s="264" t="s">
        <v>184</v>
      </c>
      <c r="D15" s="254">
        <v>98</v>
      </c>
      <c r="E15" s="255">
        <v>0</v>
      </c>
      <c r="F15" s="255">
        <v>0</v>
      </c>
      <c r="G15" s="256" t="s">
        <v>147</v>
      </c>
      <c r="H15" s="254">
        <v>687</v>
      </c>
      <c r="I15" s="255">
        <v>0</v>
      </c>
      <c r="J15" s="255">
        <v>0</v>
      </c>
      <c r="K15" s="256" t="s">
        <v>147</v>
      </c>
      <c r="L15" s="123"/>
      <c r="O15" s="275">
        <f t="shared" si="0"/>
        <v>0</v>
      </c>
      <c r="P15" s="275">
        <f t="shared" si="1"/>
        <v>0</v>
      </c>
      <c r="Q15" s="276">
        <f t="shared" si="2"/>
        <v>0</v>
      </c>
    </row>
    <row r="16" spans="2:17" ht="12.75" customHeight="1">
      <c r="B16" s="393"/>
      <c r="C16" s="264" t="s">
        <v>84</v>
      </c>
      <c r="D16" s="254">
        <v>373.5</v>
      </c>
      <c r="E16" s="255">
        <v>0</v>
      </c>
      <c r="F16" s="255">
        <v>0</v>
      </c>
      <c r="G16" s="256" t="s">
        <v>147</v>
      </c>
      <c r="H16" s="255">
        <v>536.5</v>
      </c>
      <c r="I16" s="255">
        <v>0</v>
      </c>
      <c r="J16" s="255">
        <v>0</v>
      </c>
      <c r="K16" s="256" t="s">
        <v>147</v>
      </c>
      <c r="L16" s="123"/>
      <c r="O16" s="275">
        <f t="shared" si="0"/>
        <v>0</v>
      </c>
      <c r="P16" s="275">
        <f t="shared" si="1"/>
        <v>0</v>
      </c>
      <c r="Q16" s="276">
        <f t="shared" si="2"/>
        <v>0</v>
      </c>
    </row>
    <row r="17" spans="2:18" s="250" customFormat="1" ht="12.75" customHeight="1">
      <c r="B17" s="393"/>
      <c r="C17" s="264" t="s">
        <v>180</v>
      </c>
      <c r="D17" s="254">
        <v>50</v>
      </c>
      <c r="E17" s="255">
        <v>0</v>
      </c>
      <c r="F17" s="255">
        <v>0</v>
      </c>
      <c r="G17" s="256" t="s">
        <v>147</v>
      </c>
      <c r="H17" s="255">
        <v>242</v>
      </c>
      <c r="I17" s="255">
        <v>0</v>
      </c>
      <c r="J17" s="255">
        <v>0</v>
      </c>
      <c r="K17" s="256" t="s">
        <v>147</v>
      </c>
      <c r="L17" s="261"/>
      <c r="N17" s="171"/>
      <c r="O17" s="275">
        <f t="shared" si="0"/>
        <v>0</v>
      </c>
      <c r="P17" s="275">
        <f t="shared" si="1"/>
        <v>0</v>
      </c>
      <c r="Q17" s="276">
        <f t="shared" si="2"/>
        <v>0</v>
      </c>
      <c r="R17" s="171"/>
    </row>
    <row r="18" spans="2:18" s="250" customFormat="1" ht="12.75" customHeight="1">
      <c r="B18" s="393"/>
      <c r="C18" s="264" t="s">
        <v>246</v>
      </c>
      <c r="D18" s="254">
        <v>12.6</v>
      </c>
      <c r="E18" s="255">
        <v>0</v>
      </c>
      <c r="F18" s="255">
        <v>0</v>
      </c>
      <c r="G18" s="256" t="s">
        <v>147</v>
      </c>
      <c r="H18" s="255">
        <v>35.35</v>
      </c>
      <c r="I18" s="255">
        <v>0</v>
      </c>
      <c r="J18" s="255">
        <v>0</v>
      </c>
      <c r="K18" s="256" t="s">
        <v>147</v>
      </c>
      <c r="L18" s="261"/>
      <c r="N18" s="171"/>
      <c r="O18" s="275">
        <f t="shared" si="0"/>
        <v>0</v>
      </c>
      <c r="P18" s="275">
        <f t="shared" si="1"/>
        <v>0</v>
      </c>
      <c r="Q18" s="276">
        <f t="shared" si="2"/>
        <v>0</v>
      </c>
      <c r="R18" s="171"/>
    </row>
    <row r="19" spans="2:17" ht="12.75">
      <c r="B19" s="136" t="s">
        <v>114</v>
      </c>
      <c r="C19" s="137"/>
      <c r="D19" s="67">
        <v>669386.5</v>
      </c>
      <c r="E19" s="68">
        <v>51841.92</v>
      </c>
      <c r="F19" s="68">
        <v>34609.54</v>
      </c>
      <c r="G19" s="69">
        <v>-33.24024264533412</v>
      </c>
      <c r="H19" s="68">
        <v>3847240.8000000003</v>
      </c>
      <c r="I19" s="68">
        <v>272674.82</v>
      </c>
      <c r="J19" s="68">
        <v>209138.74000000002</v>
      </c>
      <c r="K19" s="69">
        <v>-23.30104407880419</v>
      </c>
      <c r="L19" s="124"/>
      <c r="O19" s="275">
        <f t="shared" si="0"/>
        <v>-17232.379999999997</v>
      </c>
      <c r="P19" s="275">
        <f t="shared" si="1"/>
        <v>-63536.07999999999</v>
      </c>
      <c r="Q19" s="276">
        <f t="shared" si="2"/>
        <v>6.042806116463843</v>
      </c>
    </row>
    <row r="20" spans="2:17" ht="12.75" customHeight="1">
      <c r="B20" s="402" t="s">
        <v>132</v>
      </c>
      <c r="C20" s="70" t="s">
        <v>76</v>
      </c>
      <c r="D20" s="41">
        <v>1150000</v>
      </c>
      <c r="E20" s="42">
        <v>0</v>
      </c>
      <c r="F20" s="42">
        <v>0</v>
      </c>
      <c r="G20" s="43" t="s">
        <v>147</v>
      </c>
      <c r="H20" s="42">
        <v>1211900</v>
      </c>
      <c r="I20" s="42">
        <v>0</v>
      </c>
      <c r="J20" s="42">
        <v>0</v>
      </c>
      <c r="K20" s="43" t="s">
        <v>147</v>
      </c>
      <c r="L20" s="123"/>
      <c r="O20" s="275">
        <f t="shared" si="0"/>
        <v>0</v>
      </c>
      <c r="P20" s="275">
        <f t="shared" si="1"/>
        <v>0</v>
      </c>
      <c r="Q20" s="276">
        <f t="shared" si="2"/>
        <v>0</v>
      </c>
    </row>
    <row r="21" spans="2:17" ht="12.75">
      <c r="B21" s="403"/>
      <c r="C21" s="71" t="s">
        <v>82</v>
      </c>
      <c r="D21" s="45">
        <v>240000</v>
      </c>
      <c r="E21" s="46">
        <v>0</v>
      </c>
      <c r="F21" s="46">
        <v>0</v>
      </c>
      <c r="G21" s="47" t="s">
        <v>147</v>
      </c>
      <c r="H21" s="46">
        <v>268800</v>
      </c>
      <c r="I21" s="46">
        <v>0</v>
      </c>
      <c r="J21" s="46">
        <v>0</v>
      </c>
      <c r="K21" s="47" t="s">
        <v>147</v>
      </c>
      <c r="L21" s="123"/>
      <c r="O21" s="275">
        <f t="shared" si="0"/>
        <v>0</v>
      </c>
      <c r="P21" s="275">
        <f t="shared" si="1"/>
        <v>0</v>
      </c>
      <c r="Q21" s="276">
        <f t="shared" si="2"/>
        <v>0</v>
      </c>
    </row>
    <row r="22" spans="2:17" ht="12.75">
      <c r="B22" s="136" t="s">
        <v>133</v>
      </c>
      <c r="C22" s="137"/>
      <c r="D22" s="67">
        <v>1390000</v>
      </c>
      <c r="E22" s="68">
        <v>0</v>
      </c>
      <c r="F22" s="68">
        <v>0</v>
      </c>
      <c r="G22" s="43" t="s">
        <v>147</v>
      </c>
      <c r="H22" s="68">
        <v>1480700</v>
      </c>
      <c r="I22" s="68">
        <v>0</v>
      </c>
      <c r="J22" s="68">
        <v>0</v>
      </c>
      <c r="K22" s="43" t="s">
        <v>147</v>
      </c>
      <c r="L22" s="123"/>
      <c r="O22" s="275">
        <f t="shared" si="0"/>
        <v>0</v>
      </c>
      <c r="P22" s="275">
        <f t="shared" si="1"/>
        <v>0</v>
      </c>
      <c r="Q22" s="276">
        <f t="shared" si="2"/>
        <v>0</v>
      </c>
    </row>
    <row r="23" spans="2:17" ht="12.75">
      <c r="B23" s="402" t="s">
        <v>86</v>
      </c>
      <c r="C23" s="70" t="s">
        <v>76</v>
      </c>
      <c r="D23" s="41">
        <v>2219600</v>
      </c>
      <c r="E23" s="42">
        <v>0</v>
      </c>
      <c r="F23" s="42">
        <v>0</v>
      </c>
      <c r="G23" s="43" t="s">
        <v>147</v>
      </c>
      <c r="H23" s="42">
        <v>961517</v>
      </c>
      <c r="I23" s="42">
        <v>0</v>
      </c>
      <c r="J23" s="42">
        <v>0</v>
      </c>
      <c r="K23" s="43" t="s">
        <v>147</v>
      </c>
      <c r="L23" s="123"/>
      <c r="O23" s="275">
        <f t="shared" si="0"/>
        <v>0</v>
      </c>
      <c r="P23" s="275">
        <f t="shared" si="1"/>
        <v>0</v>
      </c>
      <c r="Q23" s="276">
        <f t="shared" si="2"/>
        <v>0</v>
      </c>
    </row>
    <row r="24" spans="2:17" ht="12.75">
      <c r="B24" s="403"/>
      <c r="C24" s="71" t="s">
        <v>79</v>
      </c>
      <c r="D24" s="45">
        <v>252000</v>
      </c>
      <c r="E24" s="46">
        <v>0</v>
      </c>
      <c r="F24" s="46">
        <v>0</v>
      </c>
      <c r="G24" s="47" t="s">
        <v>147</v>
      </c>
      <c r="H24" s="46">
        <v>72100</v>
      </c>
      <c r="I24" s="46">
        <v>0</v>
      </c>
      <c r="J24" s="46">
        <v>0</v>
      </c>
      <c r="K24" s="47" t="s">
        <v>147</v>
      </c>
      <c r="L24" s="123"/>
      <c r="O24" s="275">
        <f t="shared" si="0"/>
        <v>0</v>
      </c>
      <c r="P24" s="275">
        <f t="shared" si="1"/>
        <v>0</v>
      </c>
      <c r="Q24" s="276">
        <f t="shared" si="2"/>
        <v>0</v>
      </c>
    </row>
    <row r="25" spans="2:17" ht="12.75">
      <c r="B25" s="403"/>
      <c r="C25" s="71" t="s">
        <v>121</v>
      </c>
      <c r="D25" s="45">
        <v>300</v>
      </c>
      <c r="E25" s="46">
        <v>0</v>
      </c>
      <c r="F25" s="46">
        <v>0</v>
      </c>
      <c r="G25" s="47" t="s">
        <v>147</v>
      </c>
      <c r="H25" s="46">
        <v>297</v>
      </c>
      <c r="I25" s="46">
        <v>0</v>
      </c>
      <c r="J25" s="46">
        <v>0</v>
      </c>
      <c r="K25" s="47" t="s">
        <v>147</v>
      </c>
      <c r="L25" s="124"/>
      <c r="O25" s="275">
        <f t="shared" si="0"/>
        <v>0</v>
      </c>
      <c r="P25" s="275">
        <f t="shared" si="1"/>
        <v>0</v>
      </c>
      <c r="Q25" s="276">
        <f t="shared" si="2"/>
        <v>0</v>
      </c>
    </row>
    <row r="26" spans="2:17" ht="12.75">
      <c r="B26" s="136" t="s">
        <v>118</v>
      </c>
      <c r="C26" s="137"/>
      <c r="D26" s="67">
        <v>2471900</v>
      </c>
      <c r="E26" s="68">
        <v>0</v>
      </c>
      <c r="F26" s="99">
        <v>0</v>
      </c>
      <c r="G26" s="69" t="s">
        <v>147</v>
      </c>
      <c r="H26" s="68">
        <v>1033914</v>
      </c>
      <c r="I26" s="68">
        <v>0</v>
      </c>
      <c r="J26" s="68">
        <v>0</v>
      </c>
      <c r="K26" s="69" t="s">
        <v>147</v>
      </c>
      <c r="L26" s="123"/>
      <c r="O26" s="275">
        <f t="shared" si="0"/>
        <v>0</v>
      </c>
      <c r="P26" s="275">
        <f t="shared" si="1"/>
        <v>0</v>
      </c>
      <c r="Q26" s="276">
        <f t="shared" si="2"/>
        <v>0</v>
      </c>
    </row>
    <row r="27" spans="2:17" ht="12.75" customHeight="1">
      <c r="B27" s="402" t="s">
        <v>75</v>
      </c>
      <c r="C27" s="70" t="s">
        <v>80</v>
      </c>
      <c r="D27" s="41">
        <v>24487.5</v>
      </c>
      <c r="E27" s="42">
        <v>1080</v>
      </c>
      <c r="F27" s="42">
        <v>2550</v>
      </c>
      <c r="G27" s="43">
        <v>136.11111111111111</v>
      </c>
      <c r="H27" s="42">
        <v>52725.84</v>
      </c>
      <c r="I27" s="42">
        <v>750</v>
      </c>
      <c r="J27" s="42">
        <v>4698</v>
      </c>
      <c r="K27" s="43">
        <v>526.4</v>
      </c>
      <c r="L27" s="123"/>
      <c r="O27" s="275">
        <f t="shared" si="0"/>
        <v>1470</v>
      </c>
      <c r="P27" s="275">
        <f t="shared" si="1"/>
        <v>3948</v>
      </c>
      <c r="Q27" s="276">
        <f t="shared" si="2"/>
        <v>1.8423529411764705</v>
      </c>
    </row>
    <row r="28" spans="2:17" ht="12.75" customHeight="1">
      <c r="B28" s="403"/>
      <c r="C28" s="71" t="s">
        <v>78</v>
      </c>
      <c r="D28" s="45">
        <v>600</v>
      </c>
      <c r="E28" s="46">
        <v>0</v>
      </c>
      <c r="F28" s="46">
        <v>0</v>
      </c>
      <c r="G28" s="47" t="s">
        <v>147</v>
      </c>
      <c r="H28" s="46">
        <v>4819.46</v>
      </c>
      <c r="I28" s="46">
        <v>0</v>
      </c>
      <c r="J28" s="46">
        <v>0</v>
      </c>
      <c r="K28" s="47" t="s">
        <v>147</v>
      </c>
      <c r="L28" s="123"/>
      <c r="O28" s="275">
        <f t="shared" si="0"/>
        <v>0</v>
      </c>
      <c r="P28" s="275">
        <f t="shared" si="1"/>
        <v>0</v>
      </c>
      <c r="Q28" s="276">
        <f t="shared" si="2"/>
        <v>0</v>
      </c>
    </row>
    <row r="29" spans="2:17" ht="12.75">
      <c r="B29" s="403"/>
      <c r="C29" s="71" t="s">
        <v>84</v>
      </c>
      <c r="D29" s="45">
        <v>140</v>
      </c>
      <c r="E29" s="46">
        <v>0</v>
      </c>
      <c r="F29" s="46">
        <v>0</v>
      </c>
      <c r="G29" s="47" t="s">
        <v>147</v>
      </c>
      <c r="H29" s="46">
        <v>417.21</v>
      </c>
      <c r="I29" s="46">
        <v>0</v>
      </c>
      <c r="J29" s="46">
        <v>0</v>
      </c>
      <c r="K29" s="47" t="s">
        <v>147</v>
      </c>
      <c r="L29" s="123"/>
      <c r="O29" s="275">
        <f t="shared" si="0"/>
        <v>0</v>
      </c>
      <c r="P29" s="275">
        <f t="shared" si="1"/>
        <v>0</v>
      </c>
      <c r="Q29" s="276">
        <f t="shared" si="2"/>
        <v>0</v>
      </c>
    </row>
    <row r="30" spans="2:17" ht="12.75" customHeight="1">
      <c r="B30" s="405"/>
      <c r="C30" s="71" t="s">
        <v>77</v>
      </c>
      <c r="D30" s="45">
        <v>255</v>
      </c>
      <c r="E30" s="46">
        <v>0</v>
      </c>
      <c r="F30" s="46">
        <v>0</v>
      </c>
      <c r="G30" s="47" t="s">
        <v>147</v>
      </c>
      <c r="H30" s="46">
        <v>355</v>
      </c>
      <c r="I30" s="46">
        <v>0</v>
      </c>
      <c r="J30" s="46">
        <v>0</v>
      </c>
      <c r="K30" s="47" t="s">
        <v>147</v>
      </c>
      <c r="L30" s="124"/>
      <c r="O30" s="275">
        <f t="shared" si="0"/>
        <v>0</v>
      </c>
      <c r="P30" s="275">
        <f t="shared" si="1"/>
        <v>0</v>
      </c>
      <c r="Q30" s="276">
        <f t="shared" si="2"/>
        <v>0</v>
      </c>
    </row>
    <row r="31" spans="2:17" ht="12.75">
      <c r="B31" s="136" t="s">
        <v>115</v>
      </c>
      <c r="C31" s="137"/>
      <c r="D31" s="67">
        <v>25482.5</v>
      </c>
      <c r="E31" s="68">
        <v>1080</v>
      </c>
      <c r="F31" s="68">
        <v>2550</v>
      </c>
      <c r="G31" s="69">
        <v>136.11111111111111</v>
      </c>
      <c r="H31" s="68">
        <v>58317.509999999995</v>
      </c>
      <c r="I31" s="68">
        <v>750</v>
      </c>
      <c r="J31" s="68">
        <v>4698</v>
      </c>
      <c r="K31" s="69">
        <v>526.4</v>
      </c>
      <c r="L31" s="123"/>
      <c r="O31" s="275">
        <f t="shared" si="0"/>
        <v>1470</v>
      </c>
      <c r="P31" s="275">
        <f t="shared" si="1"/>
        <v>3948</v>
      </c>
      <c r="Q31" s="276">
        <f t="shared" si="2"/>
        <v>1.8423529411764705</v>
      </c>
    </row>
    <row r="32" spans="2:17" ht="15" customHeight="1">
      <c r="B32" s="402" t="s">
        <v>88</v>
      </c>
      <c r="C32" s="158" t="s">
        <v>96</v>
      </c>
      <c r="D32" s="41">
        <v>44750</v>
      </c>
      <c r="E32" s="42">
        <v>0</v>
      </c>
      <c r="F32" s="42">
        <v>0</v>
      </c>
      <c r="G32" s="43" t="s">
        <v>147</v>
      </c>
      <c r="H32" s="41">
        <v>41617.5</v>
      </c>
      <c r="I32" s="42">
        <v>0</v>
      </c>
      <c r="J32" s="42">
        <v>0</v>
      </c>
      <c r="K32" s="43" t="s">
        <v>147</v>
      </c>
      <c r="O32" s="275">
        <f t="shared" si="0"/>
        <v>0</v>
      </c>
      <c r="P32" s="275">
        <f t="shared" si="1"/>
        <v>0</v>
      </c>
      <c r="Q32" s="276">
        <f t="shared" si="2"/>
        <v>0</v>
      </c>
    </row>
    <row r="33" spans="2:17" ht="12.75">
      <c r="B33" s="403"/>
      <c r="C33" s="159" t="s">
        <v>77</v>
      </c>
      <c r="D33" s="45">
        <v>3330</v>
      </c>
      <c r="E33" s="46">
        <v>0</v>
      </c>
      <c r="F33" s="46">
        <v>0</v>
      </c>
      <c r="G33" s="47" t="s">
        <v>147</v>
      </c>
      <c r="H33" s="45">
        <v>5843.75</v>
      </c>
      <c r="I33" s="46">
        <v>0</v>
      </c>
      <c r="J33" s="46">
        <v>0</v>
      </c>
      <c r="K33" s="47" t="s">
        <v>147</v>
      </c>
      <c r="O33" s="275">
        <f t="shared" si="0"/>
        <v>0</v>
      </c>
      <c r="P33" s="275">
        <f t="shared" si="1"/>
        <v>0</v>
      </c>
      <c r="Q33" s="276">
        <f t="shared" si="2"/>
        <v>0</v>
      </c>
    </row>
    <row r="34" spans="2:17" ht="12.75">
      <c r="B34" s="403"/>
      <c r="C34" s="159" t="s">
        <v>121</v>
      </c>
      <c r="D34" s="45">
        <v>107.82</v>
      </c>
      <c r="E34" s="46">
        <v>0</v>
      </c>
      <c r="F34" s="46">
        <v>0</v>
      </c>
      <c r="G34" s="47" t="s">
        <v>147</v>
      </c>
      <c r="H34" s="45">
        <v>1402.68</v>
      </c>
      <c r="I34" s="46">
        <v>0</v>
      </c>
      <c r="J34" s="46">
        <v>0</v>
      </c>
      <c r="K34" s="47" t="s">
        <v>147</v>
      </c>
      <c r="M34" s="188"/>
      <c r="O34" s="275">
        <f t="shared" si="0"/>
        <v>0</v>
      </c>
      <c r="P34" s="275">
        <f t="shared" si="1"/>
        <v>0</v>
      </c>
      <c r="Q34" s="276">
        <f t="shared" si="2"/>
        <v>0</v>
      </c>
    </row>
    <row r="35" spans="2:17" ht="12.75">
      <c r="B35" s="403"/>
      <c r="C35" s="159" t="s">
        <v>80</v>
      </c>
      <c r="D35" s="45">
        <v>870</v>
      </c>
      <c r="E35" s="46">
        <v>0</v>
      </c>
      <c r="F35" s="46">
        <v>0</v>
      </c>
      <c r="G35" s="47" t="s">
        <v>147</v>
      </c>
      <c r="H35" s="46">
        <v>770</v>
      </c>
      <c r="I35" s="46">
        <v>0</v>
      </c>
      <c r="J35" s="46">
        <v>0</v>
      </c>
      <c r="K35" s="47" t="s">
        <v>147</v>
      </c>
      <c r="M35" s="188"/>
      <c r="O35" s="275">
        <f t="shared" si="0"/>
        <v>0</v>
      </c>
      <c r="P35" s="275">
        <f t="shared" si="1"/>
        <v>0</v>
      </c>
      <c r="Q35" s="276">
        <f t="shared" si="2"/>
        <v>0</v>
      </c>
    </row>
    <row r="36" spans="2:17" ht="12.75">
      <c r="B36" s="403"/>
      <c r="C36" s="159" t="s">
        <v>89</v>
      </c>
      <c r="D36" s="45">
        <v>290</v>
      </c>
      <c r="E36" s="46">
        <v>0</v>
      </c>
      <c r="F36" s="46">
        <v>0</v>
      </c>
      <c r="G36" s="47" t="s">
        <v>147</v>
      </c>
      <c r="H36" s="46">
        <v>524.38</v>
      </c>
      <c r="I36" s="46">
        <v>0</v>
      </c>
      <c r="J36" s="46">
        <v>0</v>
      </c>
      <c r="K36" s="47" t="s">
        <v>147</v>
      </c>
      <c r="M36" s="188"/>
      <c r="O36" s="275">
        <f t="shared" si="0"/>
        <v>0</v>
      </c>
      <c r="P36" s="275">
        <f t="shared" si="1"/>
        <v>0</v>
      </c>
      <c r="Q36" s="276">
        <f t="shared" si="2"/>
        <v>0</v>
      </c>
    </row>
    <row r="37" spans="2:17" ht="12.75">
      <c r="B37" s="136" t="s">
        <v>113</v>
      </c>
      <c r="C37" s="137"/>
      <c r="D37" s="67">
        <v>49347.82</v>
      </c>
      <c r="E37" s="68">
        <v>0</v>
      </c>
      <c r="F37" s="68">
        <v>0</v>
      </c>
      <c r="G37" s="69" t="s">
        <v>147</v>
      </c>
      <c r="H37" s="68">
        <v>50158.31</v>
      </c>
      <c r="I37" s="68">
        <v>0</v>
      </c>
      <c r="J37" s="68">
        <v>0</v>
      </c>
      <c r="K37" s="69" t="s">
        <v>147</v>
      </c>
      <c r="O37" s="275">
        <f t="shared" si="0"/>
        <v>0</v>
      </c>
      <c r="P37" s="275">
        <f t="shared" si="1"/>
        <v>0</v>
      </c>
      <c r="Q37" s="276">
        <f t="shared" si="2"/>
        <v>0</v>
      </c>
    </row>
    <row r="38" spans="2:18" s="250" customFormat="1" ht="12.75">
      <c r="B38" s="266" t="s">
        <v>83</v>
      </c>
      <c r="C38" s="259" t="s">
        <v>84</v>
      </c>
      <c r="D38" s="251">
        <v>10.42</v>
      </c>
      <c r="E38" s="252">
        <v>0</v>
      </c>
      <c r="F38" s="252">
        <v>0</v>
      </c>
      <c r="G38" s="253" t="s">
        <v>147</v>
      </c>
      <c r="H38" s="252">
        <v>31.85</v>
      </c>
      <c r="I38" s="252">
        <v>0</v>
      </c>
      <c r="J38" s="252">
        <v>0</v>
      </c>
      <c r="K38" s="253" t="s">
        <v>147</v>
      </c>
      <c r="N38" s="171"/>
      <c r="O38" s="275">
        <f t="shared" si="0"/>
        <v>0</v>
      </c>
      <c r="P38" s="275">
        <f t="shared" si="1"/>
        <v>0</v>
      </c>
      <c r="Q38" s="276">
        <f t="shared" si="2"/>
        <v>0</v>
      </c>
      <c r="R38" s="171"/>
    </row>
    <row r="39" spans="2:18" s="250" customFormat="1" ht="12.75">
      <c r="B39" s="262" t="s">
        <v>116</v>
      </c>
      <c r="C39" s="263"/>
      <c r="D39" s="257">
        <v>10.42</v>
      </c>
      <c r="E39" s="258">
        <v>0</v>
      </c>
      <c r="F39" s="258">
        <v>0</v>
      </c>
      <c r="G39" s="253" t="s">
        <v>147</v>
      </c>
      <c r="H39" s="258">
        <v>31.85</v>
      </c>
      <c r="I39" s="258">
        <v>0</v>
      </c>
      <c r="J39" s="258">
        <v>0</v>
      </c>
      <c r="K39" s="253" t="s">
        <v>147</v>
      </c>
      <c r="N39" s="171"/>
      <c r="O39" s="275">
        <f t="shared" si="0"/>
        <v>0</v>
      </c>
      <c r="P39" s="275">
        <f t="shared" si="1"/>
        <v>0</v>
      </c>
      <c r="Q39" s="276">
        <f t="shared" si="2"/>
        <v>0</v>
      </c>
      <c r="R39" s="171"/>
    </row>
    <row r="40" spans="2:17" ht="12.75">
      <c r="B40" s="136" t="s">
        <v>93</v>
      </c>
      <c r="C40" s="137"/>
      <c r="D40" s="64">
        <v>4606127.239999998</v>
      </c>
      <c r="E40" s="65">
        <v>52921.92</v>
      </c>
      <c r="F40" s="65">
        <v>37159.54</v>
      </c>
      <c r="G40" s="66">
        <v>-29.784217957322788</v>
      </c>
      <c r="H40" s="65">
        <v>6470362.47</v>
      </c>
      <c r="I40" s="65">
        <v>273424.82</v>
      </c>
      <c r="J40" s="65">
        <v>213836.74000000002</v>
      </c>
      <c r="K40" s="66">
        <v>-21.793222722063042</v>
      </c>
      <c r="O40" s="275">
        <f t="shared" si="0"/>
        <v>-15762.379999999997</v>
      </c>
      <c r="P40" s="275">
        <f t="shared" si="1"/>
        <v>-59588.07999999999</v>
      </c>
      <c r="Q40" s="276">
        <f t="shared" si="2"/>
        <v>5.754558317998555</v>
      </c>
    </row>
    <row r="41" spans="2:11" ht="12.75">
      <c r="B41" s="244"/>
      <c r="C41" s="244"/>
      <c r="D41" s="245"/>
      <c r="E41" s="245"/>
      <c r="F41" s="245"/>
      <c r="G41" s="124"/>
      <c r="H41" s="245"/>
      <c r="I41" s="245"/>
      <c r="J41" s="245"/>
      <c r="K41" s="124"/>
    </row>
    <row r="42" spans="2:11" ht="12.75">
      <c r="B42" s="404" t="s">
        <v>153</v>
      </c>
      <c r="C42" s="404"/>
      <c r="D42" s="404"/>
      <c r="E42" s="404"/>
      <c r="F42" s="404"/>
      <c r="G42" s="404"/>
      <c r="H42" s="404"/>
      <c r="I42" s="404"/>
      <c r="J42" s="404"/>
      <c r="K42" s="404"/>
    </row>
  </sheetData>
  <sheetProtection/>
  <mergeCells count="11">
    <mergeCell ref="B20:B21"/>
    <mergeCell ref="B42:K42"/>
    <mergeCell ref="B27:B30"/>
    <mergeCell ref="B23:B25"/>
    <mergeCell ref="B32:B36"/>
    <mergeCell ref="B6:B18"/>
    <mergeCell ref="B2:K2"/>
    <mergeCell ref="D4:G4"/>
    <mergeCell ref="H4:K4"/>
    <mergeCell ref="B4:B5"/>
    <mergeCell ref="C4:C5"/>
  </mergeCells>
  <conditionalFormatting sqref="O6:O40">
    <cfRule type="colorScale" priority="9" dxfId="2">
      <colorScale>
        <cfvo type="min" val="0"/>
        <cfvo type="percentile" val="50"/>
        <cfvo type="max"/>
        <color rgb="FFF8696B"/>
        <color rgb="FFFFEB84"/>
        <color rgb="FF63BE7B"/>
      </colorScale>
    </cfRule>
  </conditionalFormatting>
  <conditionalFormatting sqref="P6:P40">
    <cfRule type="colorScale" priority="1" dxfId="2">
      <colorScale>
        <cfvo type="min" val="0"/>
        <cfvo type="percentile" val="50"/>
        <cfvo type="max"/>
        <color rgb="FFF8696B"/>
        <color rgb="FFFFEB84"/>
        <color rgb="FF63BE7B"/>
      </colorScale>
    </cfRule>
  </conditionalFormatting>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T108"/>
  <sheetViews>
    <sheetView zoomScale="80" zoomScaleNormal="80" zoomScalePageLayoutView="60" workbookViewId="0" topLeftCell="A1">
      <selection activeCell="A1" sqref="A1"/>
    </sheetView>
  </sheetViews>
  <sheetFormatPr defaultColWidth="10.8515625" defaultRowHeight="15"/>
  <cols>
    <col min="1" max="1" width="1.421875" style="35" customWidth="1"/>
    <col min="2" max="2" width="18.421875" style="35" customWidth="1"/>
    <col min="3" max="3" width="18.8515625" style="35" customWidth="1"/>
    <col min="4" max="11" width="11.7109375" style="35" customWidth="1"/>
    <col min="12" max="12" width="2.8515625" style="35" customWidth="1"/>
    <col min="13" max="13" width="10.8515625" style="35" customWidth="1"/>
    <col min="14" max="14" width="4.57421875" style="171" customWidth="1"/>
    <col min="15" max="15" width="5.00390625" style="278" hidden="1" customWidth="1"/>
    <col min="16" max="16" width="10.8515625" style="278" hidden="1" customWidth="1"/>
    <col min="17" max="17" width="10.8515625" style="273" hidden="1" customWidth="1"/>
    <col min="18" max="18" width="8.57421875" style="273" hidden="1" customWidth="1"/>
    <col min="19" max="20" width="10.8515625" style="171" customWidth="1"/>
    <col min="21" max="16384" width="10.8515625" style="35" customWidth="1"/>
  </cols>
  <sheetData>
    <row r="1" ht="6" customHeight="1"/>
    <row r="2" spans="2:14" ht="15">
      <c r="B2" s="394" t="s">
        <v>212</v>
      </c>
      <c r="C2" s="394"/>
      <c r="D2" s="394"/>
      <c r="E2" s="394"/>
      <c r="F2" s="394"/>
      <c r="G2" s="394"/>
      <c r="H2" s="394"/>
      <c r="I2" s="394"/>
      <c r="J2" s="394"/>
      <c r="K2" s="394"/>
      <c r="L2" s="121"/>
      <c r="M2" s="48" t="s">
        <v>152</v>
      </c>
      <c r="N2" s="173"/>
    </row>
    <row r="3" spans="2:14" ht="15">
      <c r="B3" s="121"/>
      <c r="C3" s="121"/>
      <c r="D3" s="121"/>
      <c r="E3" s="121"/>
      <c r="F3" s="121"/>
      <c r="G3" s="121"/>
      <c r="H3" s="121"/>
      <c r="I3" s="121"/>
      <c r="J3" s="121"/>
      <c r="K3" s="121"/>
      <c r="L3" s="121"/>
      <c r="M3" s="48"/>
      <c r="N3" s="173"/>
    </row>
    <row r="4" spans="2:12" ht="15">
      <c r="B4" s="406" t="s">
        <v>71</v>
      </c>
      <c r="C4" s="406" t="s">
        <v>72</v>
      </c>
      <c r="D4" s="395" t="s">
        <v>73</v>
      </c>
      <c r="E4" s="396"/>
      <c r="F4" s="396"/>
      <c r="G4" s="397"/>
      <c r="H4" s="395" t="s">
        <v>94</v>
      </c>
      <c r="I4" s="396"/>
      <c r="J4" s="396"/>
      <c r="K4" s="397"/>
      <c r="L4" s="121"/>
    </row>
    <row r="5" spans="2:18" ht="25.5">
      <c r="B5" s="407"/>
      <c r="C5" s="407"/>
      <c r="D5" s="36" t="str">
        <f>+export!D5</f>
        <v>2016</v>
      </c>
      <c r="E5" s="37" t="str">
        <f>+export!E5</f>
        <v>ene 2016</v>
      </c>
      <c r="F5" s="37" t="str">
        <f>+export!F5</f>
        <v>ene 2017</v>
      </c>
      <c r="G5" s="38" t="s">
        <v>44</v>
      </c>
      <c r="H5" s="36" t="str">
        <f>+export!H5</f>
        <v>2016</v>
      </c>
      <c r="I5" s="39" t="str">
        <f>+export!I5</f>
        <v>ene 2016</v>
      </c>
      <c r="J5" s="39" t="str">
        <f>+export!J5</f>
        <v>ene 2017</v>
      </c>
      <c r="K5" s="40" t="s">
        <v>44</v>
      </c>
      <c r="L5" s="122"/>
      <c r="P5" s="274" t="str">
        <f>+export!O5</f>
        <v>diff Vol</v>
      </c>
      <c r="Q5" s="274" t="str">
        <f>+export!P5</f>
        <v>diff $</v>
      </c>
      <c r="R5" s="274" t="str">
        <f>+export!Q5</f>
        <v>Px 2017</v>
      </c>
    </row>
    <row r="6" spans="2:18" ht="12.75" customHeight="1">
      <c r="B6" s="402" t="s">
        <v>88</v>
      </c>
      <c r="C6" s="70" t="s">
        <v>96</v>
      </c>
      <c r="D6" s="41">
        <v>47173548.3941</v>
      </c>
      <c r="E6" s="42">
        <v>3160860.6</v>
      </c>
      <c r="F6" s="42">
        <v>3825939</v>
      </c>
      <c r="G6" s="43">
        <v>21.04105445206916</v>
      </c>
      <c r="H6" s="42">
        <v>36729736.76</v>
      </c>
      <c r="I6" s="42">
        <v>2354650.51</v>
      </c>
      <c r="J6" s="42">
        <v>2930452.17</v>
      </c>
      <c r="K6" s="43">
        <v>24.453805673267425</v>
      </c>
      <c r="L6" s="123"/>
      <c r="O6" s="279">
        <f>+J6/$J$20</f>
        <v>0.4794601529894378</v>
      </c>
      <c r="P6" s="275">
        <f>+F6-E6</f>
        <v>665078.3999999999</v>
      </c>
      <c r="Q6" s="275">
        <f>+J6-I6</f>
        <v>575801.6600000001</v>
      </c>
      <c r="R6" s="276">
        <f>+IF(F6=0,0,J6/F6)</f>
        <v>0.7659432547147249</v>
      </c>
    </row>
    <row r="7" spans="2:18" ht="15">
      <c r="B7" s="403"/>
      <c r="C7" s="71" t="s">
        <v>129</v>
      </c>
      <c r="D7" s="45">
        <v>25016697.2477</v>
      </c>
      <c r="E7" s="46">
        <v>1787505</v>
      </c>
      <c r="F7" s="46">
        <v>2480007</v>
      </c>
      <c r="G7" s="47">
        <v>38.74126226220347</v>
      </c>
      <c r="H7" s="46">
        <v>19994052.33</v>
      </c>
      <c r="I7" s="46">
        <v>1372560.43</v>
      </c>
      <c r="J7" s="46">
        <v>1909234.06</v>
      </c>
      <c r="K7" s="47">
        <v>39.10018227758469</v>
      </c>
      <c r="L7" s="123"/>
      <c r="O7" s="279">
        <f>+J7/$J$20</f>
        <v>0.31237556574767283</v>
      </c>
      <c r="P7" s="275">
        <f aca="true" t="shared" si="0" ref="P7:P70">+F7-E7</f>
        <v>692502</v>
      </c>
      <c r="Q7" s="275">
        <f aca="true" t="shared" si="1" ref="Q7:Q70">+J7-I7</f>
        <v>536673.6300000001</v>
      </c>
      <c r="R7" s="276">
        <f aca="true" t="shared" si="2" ref="R7:R70">+IF(F7=0,0,J7/F7)</f>
        <v>0.7698502705839136</v>
      </c>
    </row>
    <row r="8" spans="2:18" ht="15">
      <c r="B8" s="403"/>
      <c r="C8" s="71" t="s">
        <v>79</v>
      </c>
      <c r="D8" s="45">
        <v>10528578.4985</v>
      </c>
      <c r="E8" s="46">
        <v>1047734</v>
      </c>
      <c r="F8" s="46">
        <v>574229.2</v>
      </c>
      <c r="G8" s="47">
        <v>-45.19322652505312</v>
      </c>
      <c r="H8" s="46">
        <v>11875265.83</v>
      </c>
      <c r="I8" s="46">
        <v>1134339.98</v>
      </c>
      <c r="J8" s="46">
        <v>691448.92</v>
      </c>
      <c r="K8" s="47">
        <v>-39.04394342161862</v>
      </c>
      <c r="L8" s="123"/>
      <c r="O8" s="279">
        <f>+J8/$J$20</f>
        <v>0.1131300515195174</v>
      </c>
      <c r="P8" s="275">
        <f t="shared" si="0"/>
        <v>-473504.80000000005</v>
      </c>
      <c r="Q8" s="275">
        <f t="shared" si="1"/>
        <v>-442891.05999999994</v>
      </c>
      <c r="R8" s="276">
        <f t="shared" si="2"/>
        <v>1.2041340287118805</v>
      </c>
    </row>
    <row r="9" spans="2:18" ht="15">
      <c r="B9" s="403"/>
      <c r="C9" s="71" t="s">
        <v>95</v>
      </c>
      <c r="D9" s="45">
        <v>9095842.7362</v>
      </c>
      <c r="E9" s="46">
        <v>716040</v>
      </c>
      <c r="F9" s="46">
        <v>676740</v>
      </c>
      <c r="G9" s="47">
        <v>-5.488520194402547</v>
      </c>
      <c r="H9" s="46">
        <v>6919707.18</v>
      </c>
      <c r="I9" s="46">
        <v>526631.13</v>
      </c>
      <c r="J9" s="46">
        <v>496776.22</v>
      </c>
      <c r="K9" s="47">
        <v>-5.669036313899644</v>
      </c>
      <c r="L9" s="123"/>
      <c r="O9" s="279">
        <f>+J9/$J$20</f>
        <v>0.0812790616004883</v>
      </c>
      <c r="P9" s="275">
        <f t="shared" si="0"/>
        <v>-39300</v>
      </c>
      <c r="Q9" s="275">
        <f t="shared" si="1"/>
        <v>-29854.910000000033</v>
      </c>
      <c r="R9" s="276">
        <f t="shared" si="2"/>
        <v>0.7340724946064958</v>
      </c>
    </row>
    <row r="10" spans="2:18" ht="15">
      <c r="B10" s="403"/>
      <c r="C10" s="71" t="s">
        <v>127</v>
      </c>
      <c r="D10" s="45">
        <v>512774.2314</v>
      </c>
      <c r="E10" s="46">
        <v>16928.147</v>
      </c>
      <c r="F10" s="46">
        <v>46849.6891</v>
      </c>
      <c r="G10" s="47">
        <v>176.75615706787045</v>
      </c>
      <c r="H10" s="46">
        <v>743324.95</v>
      </c>
      <c r="I10" s="46">
        <v>26223.57</v>
      </c>
      <c r="J10" s="46">
        <v>65431.92</v>
      </c>
      <c r="K10" s="47">
        <v>149.51568379133735</v>
      </c>
      <c r="L10" s="123"/>
      <c r="M10" s="44"/>
      <c r="O10" s="279">
        <f>+J10/$J$20</f>
        <v>0.010705514560093521</v>
      </c>
      <c r="P10" s="275">
        <f t="shared" si="0"/>
        <v>29921.542100000002</v>
      </c>
      <c r="Q10" s="275">
        <f t="shared" si="1"/>
        <v>39208.35</v>
      </c>
      <c r="R10" s="276">
        <f t="shared" si="2"/>
        <v>1.3966350952796396</v>
      </c>
    </row>
    <row r="11" spans="2:18" ht="15">
      <c r="B11" s="403"/>
      <c r="C11" s="71" t="s">
        <v>100</v>
      </c>
      <c r="D11" s="45">
        <v>553778.084</v>
      </c>
      <c r="E11" s="46">
        <v>51020</v>
      </c>
      <c r="F11" s="46">
        <v>210.2769</v>
      </c>
      <c r="G11" s="47">
        <v>-99.58785397883183</v>
      </c>
      <c r="H11" s="46">
        <v>506226.95</v>
      </c>
      <c r="I11" s="46">
        <v>50237.03</v>
      </c>
      <c r="J11" s="46">
        <v>3423.06</v>
      </c>
      <c r="K11" s="47">
        <v>-93.18618158756598</v>
      </c>
      <c r="L11" s="123"/>
      <c r="O11" s="279">
        <f>+J11/$J$20</f>
        <v>0.0005600572116800749</v>
      </c>
      <c r="P11" s="275">
        <f t="shared" si="0"/>
        <v>-50809.7231</v>
      </c>
      <c r="Q11" s="275">
        <f t="shared" si="1"/>
        <v>-46813.97</v>
      </c>
      <c r="R11" s="276">
        <f t="shared" si="2"/>
        <v>16.2788209261217</v>
      </c>
    </row>
    <row r="12" spans="2:18" ht="15">
      <c r="B12" s="403"/>
      <c r="C12" s="71" t="s">
        <v>119</v>
      </c>
      <c r="D12" s="45">
        <v>75600</v>
      </c>
      <c r="E12" s="46">
        <v>0</v>
      </c>
      <c r="F12" s="46">
        <v>2956.8</v>
      </c>
      <c r="G12" s="47" t="s">
        <v>147</v>
      </c>
      <c r="H12" s="46">
        <v>55192.78</v>
      </c>
      <c r="I12" s="46">
        <v>0</v>
      </c>
      <c r="J12" s="46">
        <v>15216.37</v>
      </c>
      <c r="K12" s="47" t="s">
        <v>147</v>
      </c>
      <c r="L12" s="123"/>
      <c r="O12" s="279">
        <f>+J12/$J$20</f>
        <v>0.0024895963711101593</v>
      </c>
      <c r="P12" s="275">
        <f t="shared" si="0"/>
        <v>2956.8</v>
      </c>
      <c r="Q12" s="275">
        <f t="shared" si="1"/>
        <v>15216.37</v>
      </c>
      <c r="R12" s="276">
        <f t="shared" si="2"/>
        <v>5.146229031385281</v>
      </c>
    </row>
    <row r="13" spans="2:18" ht="15">
      <c r="B13" s="403"/>
      <c r="C13" s="71" t="s">
        <v>84</v>
      </c>
      <c r="D13" s="45">
        <v>8976.67</v>
      </c>
      <c r="E13" s="46">
        <v>0</v>
      </c>
      <c r="F13" s="46">
        <v>0</v>
      </c>
      <c r="G13" s="47" t="s">
        <v>147</v>
      </c>
      <c r="H13" s="46">
        <v>51485.8</v>
      </c>
      <c r="I13" s="46">
        <v>0</v>
      </c>
      <c r="J13" s="46">
        <v>0</v>
      </c>
      <c r="K13" s="47" t="s">
        <v>147</v>
      </c>
      <c r="L13" s="123"/>
      <c r="O13" s="280"/>
      <c r="P13" s="275">
        <f t="shared" si="0"/>
        <v>0</v>
      </c>
      <c r="Q13" s="275">
        <f t="shared" si="1"/>
        <v>0</v>
      </c>
      <c r="R13" s="276">
        <f t="shared" si="2"/>
        <v>0</v>
      </c>
    </row>
    <row r="14" spans="2:18" ht="15">
      <c r="B14" s="403"/>
      <c r="C14" s="71" t="s">
        <v>77</v>
      </c>
      <c r="D14" s="45">
        <v>8721.63</v>
      </c>
      <c r="E14" s="46">
        <v>0</v>
      </c>
      <c r="F14" s="46">
        <v>0</v>
      </c>
      <c r="G14" s="47" t="s">
        <v>147</v>
      </c>
      <c r="H14" s="46">
        <v>19631.86</v>
      </c>
      <c r="I14" s="46">
        <v>0</v>
      </c>
      <c r="J14" s="46">
        <v>0</v>
      </c>
      <c r="K14" s="47" t="s">
        <v>147</v>
      </c>
      <c r="L14" s="123"/>
      <c r="O14" s="280"/>
      <c r="P14" s="275">
        <f t="shared" si="0"/>
        <v>0</v>
      </c>
      <c r="Q14" s="275">
        <f t="shared" si="1"/>
        <v>0</v>
      </c>
      <c r="R14" s="276">
        <f t="shared" si="2"/>
        <v>0</v>
      </c>
    </row>
    <row r="15" spans="2:18" ht="15">
      <c r="B15" s="403"/>
      <c r="C15" s="71" t="s">
        <v>182</v>
      </c>
      <c r="D15" s="45">
        <v>20820</v>
      </c>
      <c r="E15" s="46">
        <v>0</v>
      </c>
      <c r="F15" s="46">
        <v>0</v>
      </c>
      <c r="G15" s="47" t="s">
        <v>147</v>
      </c>
      <c r="H15" s="46">
        <v>16078.07</v>
      </c>
      <c r="I15" s="46">
        <v>0</v>
      </c>
      <c r="J15" s="46">
        <v>0</v>
      </c>
      <c r="K15" s="47" t="s">
        <v>147</v>
      </c>
      <c r="L15" s="123"/>
      <c r="O15" s="280"/>
      <c r="P15" s="275">
        <f t="shared" si="0"/>
        <v>0</v>
      </c>
      <c r="Q15" s="275">
        <f t="shared" si="1"/>
        <v>0</v>
      </c>
      <c r="R15" s="276">
        <f t="shared" si="2"/>
        <v>0</v>
      </c>
    </row>
    <row r="16" spans="2:18" ht="15">
      <c r="B16" s="403"/>
      <c r="C16" s="71" t="s">
        <v>81</v>
      </c>
      <c r="D16" s="45">
        <v>3968.64</v>
      </c>
      <c r="E16" s="46">
        <v>0</v>
      </c>
      <c r="F16" s="46">
        <v>0</v>
      </c>
      <c r="G16" s="47" t="s">
        <v>147</v>
      </c>
      <c r="H16" s="46">
        <v>10537.48</v>
      </c>
      <c r="I16" s="46">
        <v>0</v>
      </c>
      <c r="J16" s="46">
        <v>0</v>
      </c>
      <c r="K16" s="47" t="s">
        <v>147</v>
      </c>
      <c r="L16" s="124"/>
      <c r="O16" s="280"/>
      <c r="P16" s="275">
        <f t="shared" si="0"/>
        <v>0</v>
      </c>
      <c r="Q16" s="275">
        <f t="shared" si="1"/>
        <v>0</v>
      </c>
      <c r="R16" s="276">
        <f t="shared" si="2"/>
        <v>0</v>
      </c>
    </row>
    <row r="17" spans="2:18" ht="12.75" customHeight="1">
      <c r="B17" s="403"/>
      <c r="C17" s="71" t="s">
        <v>103</v>
      </c>
      <c r="D17" s="45">
        <v>875.9782</v>
      </c>
      <c r="E17" s="46">
        <v>0</v>
      </c>
      <c r="F17" s="46">
        <v>0</v>
      </c>
      <c r="G17" s="47" t="s">
        <v>147</v>
      </c>
      <c r="H17" s="46">
        <v>3768.02</v>
      </c>
      <c r="I17" s="46">
        <v>0</v>
      </c>
      <c r="J17" s="46">
        <v>0</v>
      </c>
      <c r="K17" s="47" t="s">
        <v>147</v>
      </c>
      <c r="L17" s="123"/>
      <c r="O17" s="280"/>
      <c r="P17" s="275">
        <f t="shared" si="0"/>
        <v>0</v>
      </c>
      <c r="Q17" s="275">
        <f t="shared" si="1"/>
        <v>0</v>
      </c>
      <c r="R17" s="276">
        <f t="shared" si="2"/>
        <v>0</v>
      </c>
    </row>
    <row r="18" spans="2:18" ht="12.75" customHeight="1">
      <c r="B18" s="403"/>
      <c r="C18" s="71" t="s">
        <v>102</v>
      </c>
      <c r="D18" s="45">
        <v>132.4</v>
      </c>
      <c r="E18" s="46">
        <v>0</v>
      </c>
      <c r="F18" s="46">
        <v>0</v>
      </c>
      <c r="G18" s="47" t="s">
        <v>147</v>
      </c>
      <c r="H18" s="46">
        <v>493.72</v>
      </c>
      <c r="I18" s="46">
        <v>0</v>
      </c>
      <c r="J18" s="46">
        <v>0</v>
      </c>
      <c r="K18" s="47" t="s">
        <v>147</v>
      </c>
      <c r="L18" s="123"/>
      <c r="O18" s="280"/>
      <c r="P18" s="275">
        <f t="shared" si="0"/>
        <v>0</v>
      </c>
      <c r="Q18" s="275">
        <f t="shared" si="1"/>
        <v>0</v>
      </c>
      <c r="R18" s="276">
        <f t="shared" si="2"/>
        <v>0</v>
      </c>
    </row>
    <row r="19" spans="2:18" ht="12.75" customHeight="1">
      <c r="B19" s="403"/>
      <c r="C19" s="71" t="s">
        <v>76</v>
      </c>
      <c r="D19" s="45">
        <v>8.2</v>
      </c>
      <c r="E19" s="46">
        <v>0</v>
      </c>
      <c r="F19" s="46">
        <v>0</v>
      </c>
      <c r="G19" s="47" t="s">
        <v>147</v>
      </c>
      <c r="H19" s="46">
        <v>116.84</v>
      </c>
      <c r="I19" s="46">
        <v>0</v>
      </c>
      <c r="J19" s="46">
        <v>0</v>
      </c>
      <c r="K19" s="47" t="s">
        <v>147</v>
      </c>
      <c r="L19" s="123"/>
      <c r="O19" s="280"/>
      <c r="P19" s="275">
        <f t="shared" si="0"/>
        <v>0</v>
      </c>
      <c r="Q19" s="275">
        <f t="shared" si="1"/>
        <v>0</v>
      </c>
      <c r="R19" s="276">
        <f t="shared" si="2"/>
        <v>0</v>
      </c>
    </row>
    <row r="20" spans="2:18" ht="15">
      <c r="B20" s="138" t="s">
        <v>113</v>
      </c>
      <c r="C20" s="139"/>
      <c r="D20" s="64">
        <v>93000322.71010001</v>
      </c>
      <c r="E20" s="65">
        <v>6780087.7469999995</v>
      </c>
      <c r="F20" s="65">
        <v>7606931.966</v>
      </c>
      <c r="G20" s="66">
        <v>12.195184632615641</v>
      </c>
      <c r="H20" s="65">
        <v>76925618.57</v>
      </c>
      <c r="I20" s="65">
        <v>5464642.649999999</v>
      </c>
      <c r="J20" s="65">
        <v>6111982.72</v>
      </c>
      <c r="K20" s="66">
        <v>11.845972581574028</v>
      </c>
      <c r="L20" s="123"/>
      <c r="M20" s="44"/>
      <c r="O20" s="281">
        <f>+J20/$J$85</f>
        <v>0.8325653132716201</v>
      </c>
      <c r="P20" s="275">
        <f t="shared" si="0"/>
        <v>826844.2190000005</v>
      </c>
      <c r="Q20" s="275">
        <f t="shared" si="1"/>
        <v>647340.0700000003</v>
      </c>
      <c r="R20" s="276">
        <f t="shared" si="2"/>
        <v>0.8034754020830163</v>
      </c>
    </row>
    <row r="21" spans="2:18" ht="15">
      <c r="B21" s="402" t="s">
        <v>91</v>
      </c>
      <c r="C21" s="158" t="s">
        <v>127</v>
      </c>
      <c r="D21" s="41">
        <v>662368.8621</v>
      </c>
      <c r="E21" s="42">
        <v>0</v>
      </c>
      <c r="F21" s="42">
        <v>117.37</v>
      </c>
      <c r="G21" s="43" t="s">
        <v>147</v>
      </c>
      <c r="H21" s="41">
        <v>4593908.96</v>
      </c>
      <c r="I21" s="42">
        <v>0</v>
      </c>
      <c r="J21" s="42">
        <v>1162.88</v>
      </c>
      <c r="K21" s="43" t="s">
        <v>147</v>
      </c>
      <c r="L21" s="123"/>
      <c r="P21" s="275">
        <f t="shared" si="0"/>
        <v>117.37</v>
      </c>
      <c r="Q21" s="275">
        <f t="shared" si="1"/>
        <v>1162.88</v>
      </c>
      <c r="R21" s="276">
        <f t="shared" si="2"/>
        <v>9.907812899378035</v>
      </c>
    </row>
    <row r="22" spans="2:18" ht="15">
      <c r="B22" s="403"/>
      <c r="C22" s="159" t="s">
        <v>129</v>
      </c>
      <c r="D22" s="45">
        <v>3256680</v>
      </c>
      <c r="E22" s="46">
        <v>68040</v>
      </c>
      <c r="F22" s="46">
        <v>184716</v>
      </c>
      <c r="G22" s="47">
        <v>171.48148148148147</v>
      </c>
      <c r="H22" s="45">
        <v>3373007.56</v>
      </c>
      <c r="I22" s="46">
        <v>63684.56</v>
      </c>
      <c r="J22" s="46">
        <v>194725.26</v>
      </c>
      <c r="K22" s="47">
        <v>205.7652592716351</v>
      </c>
      <c r="L22" s="123"/>
      <c r="P22" s="275">
        <f t="shared" si="0"/>
        <v>116676</v>
      </c>
      <c r="Q22" s="275">
        <f t="shared" si="1"/>
        <v>131040.70000000001</v>
      </c>
      <c r="R22" s="276">
        <f t="shared" si="2"/>
        <v>1.0541872929253557</v>
      </c>
    </row>
    <row r="23" spans="2:18" ht="15">
      <c r="B23" s="403"/>
      <c r="C23" s="159" t="s">
        <v>84</v>
      </c>
      <c r="D23" s="45">
        <v>238082.2595</v>
      </c>
      <c r="E23" s="46">
        <v>8976.67</v>
      </c>
      <c r="F23" s="46">
        <v>0</v>
      </c>
      <c r="G23" s="47">
        <v>-100</v>
      </c>
      <c r="H23" s="45">
        <v>1346779.91</v>
      </c>
      <c r="I23" s="46">
        <v>73409.42</v>
      </c>
      <c r="J23" s="46">
        <v>0</v>
      </c>
      <c r="K23" s="47">
        <v>-100</v>
      </c>
      <c r="L23" s="123"/>
      <c r="P23" s="275">
        <f t="shared" si="0"/>
        <v>-8976.67</v>
      </c>
      <c r="Q23" s="275">
        <f t="shared" si="1"/>
        <v>-73409.42</v>
      </c>
      <c r="R23" s="276">
        <f t="shared" si="2"/>
        <v>0</v>
      </c>
    </row>
    <row r="24" spans="2:18" ht="15">
      <c r="B24" s="403"/>
      <c r="C24" s="71" t="s">
        <v>77</v>
      </c>
      <c r="D24" s="45">
        <v>19039.5777</v>
      </c>
      <c r="E24" s="46">
        <v>2779.2</v>
      </c>
      <c r="F24" s="46">
        <v>2826</v>
      </c>
      <c r="G24" s="47">
        <v>1.6839378238342029</v>
      </c>
      <c r="H24" s="46">
        <v>107925.38</v>
      </c>
      <c r="I24" s="46">
        <v>16392.89</v>
      </c>
      <c r="J24" s="46">
        <v>16812.24</v>
      </c>
      <c r="K24" s="47">
        <v>2.558121234266819</v>
      </c>
      <c r="L24" s="123"/>
      <c r="P24" s="275">
        <f t="shared" si="0"/>
        <v>46.80000000000018</v>
      </c>
      <c r="Q24" s="275">
        <f t="shared" si="1"/>
        <v>419.3500000000022</v>
      </c>
      <c r="R24" s="276">
        <f t="shared" si="2"/>
        <v>5.949129511677283</v>
      </c>
    </row>
    <row r="25" spans="2:18" ht="15">
      <c r="B25" s="403"/>
      <c r="C25" s="71" t="s">
        <v>79</v>
      </c>
      <c r="D25" s="45">
        <v>20000</v>
      </c>
      <c r="E25" s="46">
        <v>0</v>
      </c>
      <c r="F25" s="46">
        <v>0</v>
      </c>
      <c r="G25" s="47" t="s">
        <v>147</v>
      </c>
      <c r="H25" s="46">
        <v>45606</v>
      </c>
      <c r="I25" s="46">
        <v>0</v>
      </c>
      <c r="J25" s="46">
        <v>0</v>
      </c>
      <c r="K25" s="47" t="s">
        <v>147</v>
      </c>
      <c r="L25" s="123"/>
      <c r="P25" s="275">
        <f t="shared" si="0"/>
        <v>0</v>
      </c>
      <c r="Q25" s="275">
        <f t="shared" si="1"/>
        <v>0</v>
      </c>
      <c r="R25" s="276">
        <f t="shared" si="2"/>
        <v>0</v>
      </c>
    </row>
    <row r="26" spans="2:18" ht="15">
      <c r="B26" s="403"/>
      <c r="C26" s="71" t="s">
        <v>81</v>
      </c>
      <c r="D26" s="45">
        <v>4727.2</v>
      </c>
      <c r="E26" s="46">
        <v>0</v>
      </c>
      <c r="F26" s="46">
        <v>0</v>
      </c>
      <c r="G26" s="47" t="s">
        <v>147</v>
      </c>
      <c r="H26" s="46">
        <v>28164.08</v>
      </c>
      <c r="I26" s="46">
        <v>0</v>
      </c>
      <c r="J26" s="46">
        <v>0</v>
      </c>
      <c r="K26" s="47" t="s">
        <v>147</v>
      </c>
      <c r="L26" s="123"/>
      <c r="P26" s="275">
        <f t="shared" si="0"/>
        <v>0</v>
      </c>
      <c r="Q26" s="275">
        <f t="shared" si="1"/>
        <v>0</v>
      </c>
      <c r="R26" s="276">
        <f t="shared" si="2"/>
        <v>0</v>
      </c>
    </row>
    <row r="27" spans="2:18" ht="15">
      <c r="B27" s="403"/>
      <c r="C27" s="71" t="s">
        <v>182</v>
      </c>
      <c r="D27" s="45">
        <v>4933.5</v>
      </c>
      <c r="E27" s="46">
        <v>0</v>
      </c>
      <c r="F27" s="46">
        <v>0</v>
      </c>
      <c r="G27" s="47" t="s">
        <v>147</v>
      </c>
      <c r="H27" s="46">
        <v>11618.94</v>
      </c>
      <c r="I27" s="46">
        <v>0</v>
      </c>
      <c r="J27" s="46">
        <v>0</v>
      </c>
      <c r="K27" s="47" t="s">
        <v>147</v>
      </c>
      <c r="L27" s="123"/>
      <c r="P27" s="275">
        <f t="shared" si="0"/>
        <v>0</v>
      </c>
      <c r="Q27" s="275">
        <f t="shared" si="1"/>
        <v>0</v>
      </c>
      <c r="R27" s="276">
        <f t="shared" si="2"/>
        <v>0</v>
      </c>
    </row>
    <row r="28" spans="2:18" ht="15">
      <c r="B28" s="403"/>
      <c r="C28" s="71" t="s">
        <v>78</v>
      </c>
      <c r="D28" s="45">
        <v>578.76</v>
      </c>
      <c r="E28" s="46">
        <v>0</v>
      </c>
      <c r="F28" s="46">
        <v>0</v>
      </c>
      <c r="G28" s="47" t="s">
        <v>147</v>
      </c>
      <c r="H28" s="46">
        <v>7260.14</v>
      </c>
      <c r="I28" s="46">
        <v>0</v>
      </c>
      <c r="J28" s="46">
        <v>0</v>
      </c>
      <c r="K28" s="47" t="s">
        <v>147</v>
      </c>
      <c r="L28" s="123"/>
      <c r="P28" s="275">
        <f t="shared" si="0"/>
        <v>0</v>
      </c>
      <c r="Q28" s="275">
        <f t="shared" si="1"/>
        <v>0</v>
      </c>
      <c r="R28" s="276">
        <f t="shared" si="2"/>
        <v>0</v>
      </c>
    </row>
    <row r="29" spans="2:18" ht="15">
      <c r="B29" s="403"/>
      <c r="C29" s="71" t="s">
        <v>101</v>
      </c>
      <c r="D29" s="45">
        <v>7200</v>
      </c>
      <c r="E29" s="46">
        <v>0</v>
      </c>
      <c r="F29" s="46">
        <v>0</v>
      </c>
      <c r="G29" s="47" t="s">
        <v>147</v>
      </c>
      <c r="H29" s="46">
        <v>6055.22</v>
      </c>
      <c r="I29" s="46">
        <v>0</v>
      </c>
      <c r="J29" s="46">
        <v>0</v>
      </c>
      <c r="K29" s="47" t="s">
        <v>147</v>
      </c>
      <c r="L29" s="123"/>
      <c r="P29" s="275">
        <f t="shared" si="0"/>
        <v>0</v>
      </c>
      <c r="Q29" s="275">
        <f t="shared" si="1"/>
        <v>0</v>
      </c>
      <c r="R29" s="276">
        <f t="shared" si="2"/>
        <v>0</v>
      </c>
    </row>
    <row r="30" spans="2:18" ht="15">
      <c r="B30" s="403"/>
      <c r="C30" s="71" t="s">
        <v>103</v>
      </c>
      <c r="D30" s="45">
        <v>2330.88</v>
      </c>
      <c r="E30" s="46">
        <v>0</v>
      </c>
      <c r="F30" s="46">
        <v>0</v>
      </c>
      <c r="G30" s="47" t="s">
        <v>147</v>
      </c>
      <c r="H30" s="46">
        <v>5725.8</v>
      </c>
      <c r="I30" s="46">
        <v>0</v>
      </c>
      <c r="J30" s="46">
        <v>0</v>
      </c>
      <c r="K30" s="47" t="s">
        <v>147</v>
      </c>
      <c r="L30" s="123"/>
      <c r="P30" s="275">
        <f t="shared" si="0"/>
        <v>0</v>
      </c>
      <c r="Q30" s="275">
        <f t="shared" si="1"/>
        <v>0</v>
      </c>
      <c r="R30" s="276">
        <f t="shared" si="2"/>
        <v>0</v>
      </c>
    </row>
    <row r="31" spans="2:18" ht="15">
      <c r="B31" s="403"/>
      <c r="C31" s="71" t="s">
        <v>98</v>
      </c>
      <c r="D31" s="45">
        <v>3110.8077</v>
      </c>
      <c r="E31" s="46">
        <v>0</v>
      </c>
      <c r="F31" s="46">
        <v>335.76</v>
      </c>
      <c r="G31" s="47" t="s">
        <v>147</v>
      </c>
      <c r="H31" s="46">
        <v>4846.97</v>
      </c>
      <c r="I31" s="46">
        <v>0</v>
      </c>
      <c r="J31" s="46">
        <v>253.66</v>
      </c>
      <c r="K31" s="47" t="s">
        <v>147</v>
      </c>
      <c r="L31" s="123"/>
      <c r="P31" s="275">
        <f t="shared" si="0"/>
        <v>335.76</v>
      </c>
      <c r="Q31" s="275">
        <f t="shared" si="1"/>
        <v>253.66</v>
      </c>
      <c r="R31" s="276">
        <f t="shared" si="2"/>
        <v>0.7554801048367882</v>
      </c>
    </row>
    <row r="32" spans="2:18" ht="15" customHeight="1">
      <c r="B32" s="403"/>
      <c r="C32" s="71" t="s">
        <v>119</v>
      </c>
      <c r="D32" s="45">
        <v>77.05</v>
      </c>
      <c r="E32" s="46">
        <v>0</v>
      </c>
      <c r="F32" s="46">
        <v>0</v>
      </c>
      <c r="G32" s="47" t="s">
        <v>147</v>
      </c>
      <c r="H32" s="46">
        <v>1873.64</v>
      </c>
      <c r="I32" s="46">
        <v>0</v>
      </c>
      <c r="J32" s="46">
        <v>0</v>
      </c>
      <c r="K32" s="47" t="s">
        <v>147</v>
      </c>
      <c r="L32" s="123"/>
      <c r="P32" s="275">
        <f t="shared" si="0"/>
        <v>0</v>
      </c>
      <c r="Q32" s="275">
        <f t="shared" si="1"/>
        <v>0</v>
      </c>
      <c r="R32" s="276">
        <f t="shared" si="2"/>
        <v>0</v>
      </c>
    </row>
    <row r="33" spans="2:18" ht="15" customHeight="1">
      <c r="B33" s="403"/>
      <c r="C33" s="71" t="s">
        <v>102</v>
      </c>
      <c r="D33" s="45">
        <v>353</v>
      </c>
      <c r="E33" s="46">
        <v>0</v>
      </c>
      <c r="F33" s="46">
        <v>160</v>
      </c>
      <c r="G33" s="47" t="s">
        <v>147</v>
      </c>
      <c r="H33" s="46">
        <v>1655.98</v>
      </c>
      <c r="I33" s="46">
        <v>0</v>
      </c>
      <c r="J33" s="46">
        <v>940.21</v>
      </c>
      <c r="K33" s="47" t="s">
        <v>147</v>
      </c>
      <c r="L33" s="123"/>
      <c r="P33" s="275">
        <f t="shared" si="0"/>
        <v>160</v>
      </c>
      <c r="Q33" s="275">
        <f t="shared" si="1"/>
        <v>940.21</v>
      </c>
      <c r="R33" s="276">
        <f t="shared" si="2"/>
        <v>5.8763125</v>
      </c>
    </row>
    <row r="34" spans="2:18" ht="15">
      <c r="B34" s="403"/>
      <c r="C34" s="71" t="s">
        <v>99</v>
      </c>
      <c r="D34" s="45">
        <v>160</v>
      </c>
      <c r="E34" s="46">
        <v>0</v>
      </c>
      <c r="F34" s="46">
        <v>0</v>
      </c>
      <c r="G34" s="47" t="s">
        <v>147</v>
      </c>
      <c r="H34" s="46">
        <v>1123.27</v>
      </c>
      <c r="I34" s="46">
        <v>0</v>
      </c>
      <c r="J34" s="46">
        <v>0</v>
      </c>
      <c r="K34" s="47" t="s">
        <v>147</v>
      </c>
      <c r="L34" s="123"/>
      <c r="P34" s="275">
        <f t="shared" si="0"/>
        <v>0</v>
      </c>
      <c r="Q34" s="275">
        <f t="shared" si="1"/>
        <v>0</v>
      </c>
      <c r="R34" s="276">
        <f t="shared" si="2"/>
        <v>0</v>
      </c>
    </row>
    <row r="35" spans="2:18" ht="15">
      <c r="B35" s="403"/>
      <c r="C35" s="71" t="s">
        <v>169</v>
      </c>
      <c r="D35" s="45">
        <v>69.53</v>
      </c>
      <c r="E35" s="46">
        <v>0</v>
      </c>
      <c r="F35" s="46">
        <v>1.34</v>
      </c>
      <c r="G35" s="47" t="s">
        <v>147</v>
      </c>
      <c r="H35" s="46">
        <v>510.15</v>
      </c>
      <c r="I35" s="46">
        <v>0</v>
      </c>
      <c r="J35" s="46">
        <v>15.48</v>
      </c>
      <c r="K35" s="47" t="s">
        <v>147</v>
      </c>
      <c r="L35" s="123"/>
      <c r="P35" s="275">
        <f t="shared" si="0"/>
        <v>1.34</v>
      </c>
      <c r="Q35" s="275">
        <f t="shared" si="1"/>
        <v>15.48</v>
      </c>
      <c r="R35" s="276">
        <f t="shared" si="2"/>
        <v>11.552238805970148</v>
      </c>
    </row>
    <row r="36" spans="2:18" ht="15">
      <c r="B36" s="403"/>
      <c r="C36" s="71" t="s">
        <v>200</v>
      </c>
      <c r="D36" s="45">
        <v>3</v>
      </c>
      <c r="E36" s="46">
        <v>0</v>
      </c>
      <c r="F36" s="46">
        <v>0</v>
      </c>
      <c r="G36" s="47" t="s">
        <v>147</v>
      </c>
      <c r="H36" s="46">
        <v>230.91</v>
      </c>
      <c r="I36" s="46">
        <v>0</v>
      </c>
      <c r="J36" s="46">
        <v>0</v>
      </c>
      <c r="K36" s="47" t="s">
        <v>147</v>
      </c>
      <c r="L36" s="123"/>
      <c r="P36" s="275">
        <f t="shared" si="0"/>
        <v>0</v>
      </c>
      <c r="Q36" s="275">
        <f t="shared" si="1"/>
        <v>0</v>
      </c>
      <c r="R36" s="276">
        <f t="shared" si="2"/>
        <v>0</v>
      </c>
    </row>
    <row r="37" spans="2:18" ht="15">
      <c r="B37" s="403"/>
      <c r="C37" s="71" t="s">
        <v>97</v>
      </c>
      <c r="D37" s="45">
        <v>3.34</v>
      </c>
      <c r="E37" s="46">
        <v>0</v>
      </c>
      <c r="F37" s="46">
        <v>0</v>
      </c>
      <c r="G37" s="47" t="s">
        <v>147</v>
      </c>
      <c r="H37" s="46">
        <v>139.17</v>
      </c>
      <c r="I37" s="46">
        <v>0</v>
      </c>
      <c r="J37" s="46">
        <v>0</v>
      </c>
      <c r="K37" s="47" t="s">
        <v>147</v>
      </c>
      <c r="L37" s="123"/>
      <c r="P37" s="275">
        <f t="shared" si="0"/>
        <v>0</v>
      </c>
      <c r="Q37" s="275">
        <f t="shared" si="1"/>
        <v>0</v>
      </c>
      <c r="R37" s="276">
        <f t="shared" si="2"/>
        <v>0</v>
      </c>
    </row>
    <row r="38" spans="2:18" ht="15">
      <c r="B38" s="403"/>
      <c r="C38" s="71" t="s">
        <v>194</v>
      </c>
      <c r="D38" s="45">
        <v>10.05</v>
      </c>
      <c r="E38" s="46">
        <v>0</v>
      </c>
      <c r="F38" s="46">
        <v>0</v>
      </c>
      <c r="G38" s="47" t="s">
        <v>147</v>
      </c>
      <c r="H38" s="46">
        <v>51.27</v>
      </c>
      <c r="I38" s="46">
        <v>0</v>
      </c>
      <c r="J38" s="46">
        <v>0</v>
      </c>
      <c r="K38" s="47" t="s">
        <v>147</v>
      </c>
      <c r="L38" s="123"/>
      <c r="P38" s="275">
        <f t="shared" si="0"/>
        <v>0</v>
      </c>
      <c r="Q38" s="275">
        <f t="shared" si="1"/>
        <v>0</v>
      </c>
      <c r="R38" s="276">
        <f t="shared" si="2"/>
        <v>0</v>
      </c>
    </row>
    <row r="39" spans="2:18" ht="15">
      <c r="B39" s="403"/>
      <c r="C39" s="260" t="s">
        <v>76</v>
      </c>
      <c r="D39" s="254">
        <v>0</v>
      </c>
      <c r="E39" s="255">
        <v>0</v>
      </c>
      <c r="F39" s="255">
        <v>1.75</v>
      </c>
      <c r="G39" s="256" t="s">
        <v>147</v>
      </c>
      <c r="H39" s="255">
        <v>0</v>
      </c>
      <c r="I39" s="255">
        <v>0</v>
      </c>
      <c r="J39" s="255">
        <v>190.3</v>
      </c>
      <c r="K39" s="256" t="s">
        <v>147</v>
      </c>
      <c r="L39" s="123"/>
      <c r="P39" s="275">
        <f t="shared" si="0"/>
        <v>1.75</v>
      </c>
      <c r="Q39" s="275">
        <f t="shared" si="1"/>
        <v>190.3</v>
      </c>
      <c r="R39" s="276">
        <f t="shared" si="2"/>
        <v>108.74285714285715</v>
      </c>
    </row>
    <row r="40" spans="2:18" ht="15">
      <c r="B40" s="138" t="s">
        <v>114</v>
      </c>
      <c r="C40" s="139"/>
      <c r="D40" s="64">
        <v>4219727.816999999</v>
      </c>
      <c r="E40" s="65">
        <v>79795.87</v>
      </c>
      <c r="F40" s="65">
        <v>188158.22</v>
      </c>
      <c r="G40" s="66">
        <v>135.79944676334753</v>
      </c>
      <c r="H40" s="65">
        <v>9536483.35</v>
      </c>
      <c r="I40" s="65">
        <v>153486.87</v>
      </c>
      <c r="J40" s="65">
        <v>214100.03</v>
      </c>
      <c r="K40" s="66">
        <v>39.49077859233172</v>
      </c>
      <c r="L40" s="123"/>
      <c r="O40" s="281">
        <f>+J40/$J$85</f>
        <v>0.029164391771777334</v>
      </c>
      <c r="P40" s="275">
        <f t="shared" si="0"/>
        <v>108362.35</v>
      </c>
      <c r="Q40" s="275">
        <f t="shared" si="1"/>
        <v>60613.16</v>
      </c>
      <c r="R40" s="276">
        <f t="shared" si="2"/>
        <v>1.1378723183074329</v>
      </c>
    </row>
    <row r="41" spans="2:18" ht="15">
      <c r="B41" s="402" t="s">
        <v>75</v>
      </c>
      <c r="C41" s="158" t="s">
        <v>95</v>
      </c>
      <c r="D41" s="41">
        <v>2660412.816</v>
      </c>
      <c r="E41" s="42">
        <v>99037.816</v>
      </c>
      <c r="F41" s="42">
        <v>318020</v>
      </c>
      <c r="G41" s="43">
        <v>221.10966582704123</v>
      </c>
      <c r="H41" s="41">
        <v>3289548.32</v>
      </c>
      <c r="I41" s="42">
        <v>128434.12</v>
      </c>
      <c r="J41" s="42">
        <v>374229.16</v>
      </c>
      <c r="K41" s="43">
        <v>191.37830352245962</v>
      </c>
      <c r="L41" s="124"/>
      <c r="P41" s="275">
        <f t="shared" si="0"/>
        <v>218982.184</v>
      </c>
      <c r="Q41" s="275">
        <f t="shared" si="1"/>
        <v>245795.03999999998</v>
      </c>
      <c r="R41" s="276">
        <f t="shared" si="2"/>
        <v>1.1767472486007169</v>
      </c>
    </row>
    <row r="42" spans="2:18" ht="12.75" customHeight="1">
      <c r="B42" s="403"/>
      <c r="C42" s="159" t="s">
        <v>129</v>
      </c>
      <c r="D42" s="45">
        <v>2234673.5538</v>
      </c>
      <c r="E42" s="46">
        <v>388400</v>
      </c>
      <c r="F42" s="46">
        <v>100350.5</v>
      </c>
      <c r="G42" s="47">
        <v>-74.16310504634399</v>
      </c>
      <c r="H42" s="45">
        <v>2868270.42</v>
      </c>
      <c r="I42" s="46">
        <v>503949.99</v>
      </c>
      <c r="J42" s="46">
        <v>122373.91</v>
      </c>
      <c r="K42" s="47">
        <v>-75.71705279724283</v>
      </c>
      <c r="L42" s="123"/>
      <c r="P42" s="275">
        <f t="shared" si="0"/>
        <v>-288049.5</v>
      </c>
      <c r="Q42" s="275">
        <f t="shared" si="1"/>
        <v>-381576.07999999996</v>
      </c>
      <c r="R42" s="276">
        <f t="shared" si="2"/>
        <v>1.2194648756109836</v>
      </c>
    </row>
    <row r="43" spans="2:18" ht="15">
      <c r="B43" s="403"/>
      <c r="C43" s="159" t="s">
        <v>127</v>
      </c>
      <c r="D43" s="45">
        <v>935896.8542</v>
      </c>
      <c r="E43" s="46">
        <v>3500</v>
      </c>
      <c r="F43" s="46">
        <v>37000</v>
      </c>
      <c r="G43" s="47">
        <v>957.1428571428571</v>
      </c>
      <c r="H43" s="45">
        <v>1328296.29</v>
      </c>
      <c r="I43" s="46">
        <v>8943.15</v>
      </c>
      <c r="J43" s="46">
        <v>52910</v>
      </c>
      <c r="K43" s="47">
        <v>491.62599307850144</v>
      </c>
      <c r="L43" s="123"/>
      <c r="P43" s="275">
        <f t="shared" si="0"/>
        <v>33500</v>
      </c>
      <c r="Q43" s="275">
        <f t="shared" si="1"/>
        <v>43966.85</v>
      </c>
      <c r="R43" s="276">
        <f t="shared" si="2"/>
        <v>1.43</v>
      </c>
    </row>
    <row r="44" spans="2:18" ht="15">
      <c r="B44" s="403"/>
      <c r="C44" s="159" t="s">
        <v>101</v>
      </c>
      <c r="D44" s="45">
        <v>695525</v>
      </c>
      <c r="E44" s="46">
        <v>96400</v>
      </c>
      <c r="F44" s="46">
        <v>108900</v>
      </c>
      <c r="G44" s="47">
        <v>12.96680497925311</v>
      </c>
      <c r="H44" s="45">
        <v>883600.42</v>
      </c>
      <c r="I44" s="46">
        <v>123144.42</v>
      </c>
      <c r="J44" s="46">
        <v>140524.55</v>
      </c>
      <c r="K44" s="47">
        <v>14.11361554181667</v>
      </c>
      <c r="L44" s="123"/>
      <c r="P44" s="275">
        <f t="shared" si="0"/>
        <v>12500</v>
      </c>
      <c r="Q44" s="275">
        <f t="shared" si="1"/>
        <v>17380.12999999999</v>
      </c>
      <c r="R44" s="276">
        <f t="shared" si="2"/>
        <v>1.2903999081726354</v>
      </c>
    </row>
    <row r="45" spans="2:18" ht="15">
      <c r="B45" s="403"/>
      <c r="C45" s="159" t="s">
        <v>187</v>
      </c>
      <c r="D45" s="45">
        <v>595511.8538</v>
      </c>
      <c r="E45" s="46">
        <v>47000</v>
      </c>
      <c r="F45" s="46">
        <v>107848</v>
      </c>
      <c r="G45" s="47">
        <v>129.46382978723406</v>
      </c>
      <c r="H45" s="45">
        <v>678360</v>
      </c>
      <c r="I45" s="46">
        <v>55087</v>
      </c>
      <c r="J45" s="46">
        <v>118809.57</v>
      </c>
      <c r="K45" s="47">
        <v>115.67623940312598</v>
      </c>
      <c r="L45" s="123"/>
      <c r="P45" s="275">
        <f t="shared" si="0"/>
        <v>60848</v>
      </c>
      <c r="Q45" s="275">
        <f t="shared" si="1"/>
        <v>63722.57000000001</v>
      </c>
      <c r="R45" s="276">
        <f t="shared" si="2"/>
        <v>1.10163906609302</v>
      </c>
    </row>
    <row r="46" spans="2:18" ht="15">
      <c r="B46" s="403"/>
      <c r="C46" s="159" t="s">
        <v>96</v>
      </c>
      <c r="D46" s="45">
        <v>310824.5</v>
      </c>
      <c r="E46" s="46">
        <v>54000</v>
      </c>
      <c r="F46" s="46">
        <v>0</v>
      </c>
      <c r="G46" s="47">
        <v>-100</v>
      </c>
      <c r="H46" s="45">
        <v>403314.86</v>
      </c>
      <c r="I46" s="46">
        <v>68118.81</v>
      </c>
      <c r="J46" s="46">
        <v>0</v>
      </c>
      <c r="K46" s="47">
        <v>-100</v>
      </c>
      <c r="L46" s="123"/>
      <c r="P46" s="275">
        <f t="shared" si="0"/>
        <v>-54000</v>
      </c>
      <c r="Q46" s="275">
        <f t="shared" si="1"/>
        <v>-68118.81</v>
      </c>
      <c r="R46" s="276">
        <f t="shared" si="2"/>
        <v>0</v>
      </c>
    </row>
    <row r="47" spans="2:18" ht="15">
      <c r="B47" s="403"/>
      <c r="C47" s="159" t="s">
        <v>98</v>
      </c>
      <c r="D47" s="45">
        <v>595</v>
      </c>
      <c r="E47" s="46">
        <v>0</v>
      </c>
      <c r="F47" s="46">
        <v>0</v>
      </c>
      <c r="G47" s="47" t="s">
        <v>147</v>
      </c>
      <c r="H47" s="45">
        <v>1133.24</v>
      </c>
      <c r="I47" s="46">
        <v>0</v>
      </c>
      <c r="J47" s="46">
        <v>0</v>
      </c>
      <c r="K47" s="47" t="s">
        <v>147</v>
      </c>
      <c r="L47" s="123"/>
      <c r="P47" s="275">
        <f t="shared" si="0"/>
        <v>0</v>
      </c>
      <c r="Q47" s="275">
        <f t="shared" si="1"/>
        <v>0</v>
      </c>
      <c r="R47" s="276">
        <f t="shared" si="2"/>
        <v>0</v>
      </c>
    </row>
    <row r="48" spans="2:20" s="250" customFormat="1" ht="15">
      <c r="B48" s="403"/>
      <c r="C48" s="159" t="s">
        <v>119</v>
      </c>
      <c r="D48" s="45">
        <v>24.3</v>
      </c>
      <c r="E48" s="46">
        <v>0</v>
      </c>
      <c r="F48" s="46">
        <v>0</v>
      </c>
      <c r="G48" s="47" t="s">
        <v>147</v>
      </c>
      <c r="H48" s="45">
        <v>406.01</v>
      </c>
      <c r="I48" s="46">
        <v>0</v>
      </c>
      <c r="J48" s="46">
        <v>0</v>
      </c>
      <c r="K48" s="47" t="s">
        <v>147</v>
      </c>
      <c r="L48" s="261"/>
      <c r="N48" s="171"/>
      <c r="O48" s="278"/>
      <c r="P48" s="275">
        <f t="shared" si="0"/>
        <v>0</v>
      </c>
      <c r="Q48" s="275">
        <f t="shared" si="1"/>
        <v>0</v>
      </c>
      <c r="R48" s="276">
        <f t="shared" si="2"/>
        <v>0</v>
      </c>
      <c r="S48" s="171"/>
      <c r="T48" s="171"/>
    </row>
    <row r="49" spans="2:20" s="250" customFormat="1" ht="15">
      <c r="B49" s="403"/>
      <c r="C49" s="71" t="s">
        <v>182</v>
      </c>
      <c r="D49" s="45">
        <v>4</v>
      </c>
      <c r="E49" s="46">
        <v>0</v>
      </c>
      <c r="F49" s="46">
        <v>0</v>
      </c>
      <c r="G49" s="47" t="s">
        <v>147</v>
      </c>
      <c r="H49" s="46">
        <v>67.16</v>
      </c>
      <c r="I49" s="46">
        <v>0</v>
      </c>
      <c r="J49" s="46">
        <v>0</v>
      </c>
      <c r="K49" s="47" t="s">
        <v>147</v>
      </c>
      <c r="L49" s="261"/>
      <c r="N49" s="171"/>
      <c r="O49" s="278"/>
      <c r="P49" s="275">
        <f t="shared" si="0"/>
        <v>0</v>
      </c>
      <c r="Q49" s="275">
        <f t="shared" si="1"/>
        <v>0</v>
      </c>
      <c r="R49" s="276">
        <f t="shared" si="2"/>
        <v>0</v>
      </c>
      <c r="S49" s="171"/>
      <c r="T49" s="171"/>
    </row>
    <row r="50" spans="2:18" ht="12.75" customHeight="1">
      <c r="B50" s="138" t="s">
        <v>115</v>
      </c>
      <c r="C50" s="139"/>
      <c r="D50" s="64">
        <v>7433467.877799999</v>
      </c>
      <c r="E50" s="65">
        <v>688337.816</v>
      </c>
      <c r="F50" s="65">
        <v>672118.5</v>
      </c>
      <c r="G50" s="66">
        <v>-2.356301749372436</v>
      </c>
      <c r="H50" s="65">
        <v>9452996.719999999</v>
      </c>
      <c r="I50" s="65">
        <v>887677.49</v>
      </c>
      <c r="J50" s="65">
        <v>808847.19</v>
      </c>
      <c r="K50" s="66">
        <v>-8.880511321741412</v>
      </c>
      <c r="L50" s="123"/>
      <c r="O50" s="281">
        <f>+J50/$J$85</f>
        <v>0.11017997677375953</v>
      </c>
      <c r="P50" s="275">
        <f t="shared" si="0"/>
        <v>-16219.315999999992</v>
      </c>
      <c r="Q50" s="275">
        <f t="shared" si="1"/>
        <v>-78830.30000000005</v>
      </c>
      <c r="R50" s="276">
        <f t="shared" si="2"/>
        <v>1.203429439897875</v>
      </c>
    </row>
    <row r="51" spans="2:18" ht="12.75" customHeight="1">
      <c r="B51" s="402" t="s">
        <v>83</v>
      </c>
      <c r="C51" s="71" t="s">
        <v>129</v>
      </c>
      <c r="D51" s="45">
        <v>570650</v>
      </c>
      <c r="E51" s="46">
        <v>33000</v>
      </c>
      <c r="F51" s="46">
        <v>38150</v>
      </c>
      <c r="G51" s="47">
        <v>15.606060606060602</v>
      </c>
      <c r="H51" s="46">
        <v>719399.28</v>
      </c>
      <c r="I51" s="46">
        <v>43986.56</v>
      </c>
      <c r="J51" s="46">
        <v>43438.62</v>
      </c>
      <c r="K51" s="47">
        <v>-1.2456986861441255</v>
      </c>
      <c r="L51" s="123"/>
      <c r="O51" s="273"/>
      <c r="P51" s="275">
        <f t="shared" si="0"/>
        <v>5150</v>
      </c>
      <c r="Q51" s="275">
        <f t="shared" si="1"/>
        <v>-547.939999999995</v>
      </c>
      <c r="R51" s="276">
        <f t="shared" si="2"/>
        <v>1.138626998689384</v>
      </c>
    </row>
    <row r="52" spans="2:18" ht="12.75" customHeight="1">
      <c r="B52" s="403"/>
      <c r="C52" s="71" t="s">
        <v>127</v>
      </c>
      <c r="D52" s="45">
        <v>273566.1</v>
      </c>
      <c r="E52" s="46">
        <v>19278</v>
      </c>
      <c r="F52" s="46">
        <v>19278</v>
      </c>
      <c r="G52" s="47">
        <v>0</v>
      </c>
      <c r="H52" s="46">
        <v>364902.47</v>
      </c>
      <c r="I52" s="46">
        <v>23806.16</v>
      </c>
      <c r="J52" s="46">
        <v>20928</v>
      </c>
      <c r="K52" s="47">
        <v>-12.08998007238462</v>
      </c>
      <c r="L52" s="123"/>
      <c r="O52" s="273"/>
      <c r="P52" s="275">
        <f t="shared" si="0"/>
        <v>0</v>
      </c>
      <c r="Q52" s="275">
        <f t="shared" si="1"/>
        <v>-2878.16</v>
      </c>
      <c r="R52" s="276">
        <f t="shared" si="2"/>
        <v>1.0855897914721444</v>
      </c>
    </row>
    <row r="53" spans="2:18" ht="12.75">
      <c r="B53" s="403"/>
      <c r="C53" s="71" t="s">
        <v>99</v>
      </c>
      <c r="D53" s="45">
        <v>357004.325</v>
      </c>
      <c r="E53" s="46">
        <v>42000</v>
      </c>
      <c r="F53" s="46">
        <v>63000</v>
      </c>
      <c r="G53" s="47">
        <v>50</v>
      </c>
      <c r="H53" s="46">
        <v>258063.97</v>
      </c>
      <c r="I53" s="46">
        <v>30030</v>
      </c>
      <c r="J53" s="46">
        <v>43386</v>
      </c>
      <c r="K53" s="47">
        <v>44.47552447552447</v>
      </c>
      <c r="L53" s="123"/>
      <c r="O53" s="273"/>
      <c r="P53" s="275">
        <f t="shared" si="0"/>
        <v>21000</v>
      </c>
      <c r="Q53" s="275">
        <f t="shared" si="1"/>
        <v>13356</v>
      </c>
      <c r="R53" s="276">
        <f t="shared" si="2"/>
        <v>0.6886666666666666</v>
      </c>
    </row>
    <row r="54" spans="2:18" ht="12.75">
      <c r="B54" s="403"/>
      <c r="C54" s="71" t="s">
        <v>101</v>
      </c>
      <c r="D54" s="45">
        <v>312850</v>
      </c>
      <c r="E54" s="46">
        <v>21000</v>
      </c>
      <c r="F54" s="46">
        <v>41600</v>
      </c>
      <c r="G54" s="47">
        <v>98.0952380952381</v>
      </c>
      <c r="H54" s="46">
        <v>232309.25</v>
      </c>
      <c r="I54" s="46">
        <v>12417</v>
      </c>
      <c r="J54" s="46">
        <v>29536.96</v>
      </c>
      <c r="K54" s="47">
        <v>137.87517113634533</v>
      </c>
      <c r="L54" s="124"/>
      <c r="O54" s="273"/>
      <c r="P54" s="275">
        <f t="shared" si="0"/>
        <v>20600</v>
      </c>
      <c r="Q54" s="275">
        <f t="shared" si="1"/>
        <v>17119.96</v>
      </c>
      <c r="R54" s="276">
        <f t="shared" si="2"/>
        <v>0.7100230769230769</v>
      </c>
    </row>
    <row r="55" spans="2:18" ht="12.75">
      <c r="B55" s="403"/>
      <c r="C55" s="71" t="s">
        <v>95</v>
      </c>
      <c r="D55" s="45">
        <v>301525</v>
      </c>
      <c r="E55" s="46">
        <v>25</v>
      </c>
      <c r="F55" s="46">
        <v>60000</v>
      </c>
      <c r="G55" s="47">
        <v>239900</v>
      </c>
      <c r="H55" s="46">
        <v>224159.39</v>
      </c>
      <c r="I55" s="46">
        <v>349.84</v>
      </c>
      <c r="J55" s="46">
        <v>42840</v>
      </c>
      <c r="K55" s="47">
        <v>12145.5979876515</v>
      </c>
      <c r="L55" s="124"/>
      <c r="O55" s="273"/>
      <c r="P55" s="275">
        <f t="shared" si="0"/>
        <v>59975</v>
      </c>
      <c r="Q55" s="275">
        <f t="shared" si="1"/>
        <v>42490.16</v>
      </c>
      <c r="R55" s="276">
        <f t="shared" si="2"/>
        <v>0.714</v>
      </c>
    </row>
    <row r="56" spans="2:18" ht="12.75">
      <c r="B56" s="403"/>
      <c r="C56" s="71" t="s">
        <v>97</v>
      </c>
      <c r="D56" s="45">
        <v>139000.5</v>
      </c>
      <c r="E56" s="46">
        <v>0</v>
      </c>
      <c r="F56" s="46">
        <v>0</v>
      </c>
      <c r="G56" s="47" t="s">
        <v>147</v>
      </c>
      <c r="H56" s="46">
        <v>79274.37</v>
      </c>
      <c r="I56" s="46">
        <v>0</v>
      </c>
      <c r="J56" s="46">
        <v>0</v>
      </c>
      <c r="K56" s="47" t="s">
        <v>147</v>
      </c>
      <c r="L56" s="124"/>
      <c r="O56" s="273"/>
      <c r="P56" s="275">
        <f t="shared" si="0"/>
        <v>0</v>
      </c>
      <c r="Q56" s="275">
        <f t="shared" si="1"/>
        <v>0</v>
      </c>
      <c r="R56" s="276">
        <f t="shared" si="2"/>
        <v>0</v>
      </c>
    </row>
    <row r="57" spans="2:18" ht="12.75" customHeight="1">
      <c r="B57" s="403"/>
      <c r="C57" s="71" t="s">
        <v>100</v>
      </c>
      <c r="D57" s="45">
        <v>45520</v>
      </c>
      <c r="E57" s="46">
        <v>0</v>
      </c>
      <c r="F57" s="46">
        <v>0</v>
      </c>
      <c r="G57" s="47" t="s">
        <v>147</v>
      </c>
      <c r="H57" s="46">
        <v>35848.67</v>
      </c>
      <c r="I57" s="46">
        <v>0</v>
      </c>
      <c r="J57" s="46">
        <v>0</v>
      </c>
      <c r="K57" s="47" t="s">
        <v>147</v>
      </c>
      <c r="L57" s="123"/>
      <c r="O57" s="273"/>
      <c r="P57" s="275">
        <f t="shared" si="0"/>
        <v>0</v>
      </c>
      <c r="Q57" s="275">
        <f t="shared" si="1"/>
        <v>0</v>
      </c>
      <c r="R57" s="276">
        <f t="shared" si="2"/>
        <v>0</v>
      </c>
    </row>
    <row r="58" spans="2:18" ht="12.75">
      <c r="B58" s="403"/>
      <c r="C58" s="71" t="s">
        <v>180</v>
      </c>
      <c r="D58" s="45">
        <v>40000</v>
      </c>
      <c r="E58" s="46">
        <v>0</v>
      </c>
      <c r="F58" s="46">
        <v>0</v>
      </c>
      <c r="G58" s="47" t="s">
        <v>147</v>
      </c>
      <c r="H58" s="46">
        <v>25635.99</v>
      </c>
      <c r="I58" s="46">
        <v>0</v>
      </c>
      <c r="J58" s="46">
        <v>0</v>
      </c>
      <c r="K58" s="47" t="s">
        <v>147</v>
      </c>
      <c r="L58" s="123"/>
      <c r="O58" s="273"/>
      <c r="P58" s="275">
        <f t="shared" si="0"/>
        <v>0</v>
      </c>
      <c r="Q58" s="275">
        <f t="shared" si="1"/>
        <v>0</v>
      </c>
      <c r="R58" s="276">
        <f t="shared" si="2"/>
        <v>0</v>
      </c>
    </row>
    <row r="59" spans="2:18" ht="12.75">
      <c r="B59" s="403"/>
      <c r="C59" s="71" t="s">
        <v>110</v>
      </c>
      <c r="D59" s="45">
        <v>17500</v>
      </c>
      <c r="E59" s="46">
        <v>0</v>
      </c>
      <c r="F59" s="46">
        <v>0</v>
      </c>
      <c r="G59" s="47" t="s">
        <v>147</v>
      </c>
      <c r="H59" s="46">
        <v>11645.79</v>
      </c>
      <c r="I59" s="46">
        <v>0</v>
      </c>
      <c r="J59" s="46">
        <v>0</v>
      </c>
      <c r="K59" s="47" t="s">
        <v>147</v>
      </c>
      <c r="L59" s="123"/>
      <c r="O59" s="273"/>
      <c r="P59" s="275">
        <f t="shared" si="0"/>
        <v>0</v>
      </c>
      <c r="Q59" s="275">
        <f t="shared" si="1"/>
        <v>0</v>
      </c>
      <c r="R59" s="276">
        <f t="shared" si="2"/>
        <v>0</v>
      </c>
    </row>
    <row r="60" spans="2:18" ht="12.75" customHeight="1">
      <c r="B60" s="403"/>
      <c r="C60" s="71" t="s">
        <v>96</v>
      </c>
      <c r="D60" s="45">
        <v>10000</v>
      </c>
      <c r="E60" s="46">
        <v>0</v>
      </c>
      <c r="F60" s="46">
        <v>0</v>
      </c>
      <c r="G60" s="47" t="s">
        <v>147</v>
      </c>
      <c r="H60" s="46">
        <v>10385.13</v>
      </c>
      <c r="I60" s="46">
        <v>0</v>
      </c>
      <c r="J60" s="46">
        <v>0</v>
      </c>
      <c r="K60" s="47" t="s">
        <v>147</v>
      </c>
      <c r="L60" s="123"/>
      <c r="O60" s="273"/>
      <c r="P60" s="275">
        <f t="shared" si="0"/>
        <v>0</v>
      </c>
      <c r="Q60" s="275">
        <f t="shared" si="1"/>
        <v>0</v>
      </c>
      <c r="R60" s="276">
        <f t="shared" si="2"/>
        <v>0</v>
      </c>
    </row>
    <row r="61" spans="2:18" ht="12.75" customHeight="1">
      <c r="B61" s="403"/>
      <c r="C61" s="71" t="s">
        <v>102</v>
      </c>
      <c r="D61" s="45">
        <v>7076</v>
      </c>
      <c r="E61" s="46">
        <v>0</v>
      </c>
      <c r="F61" s="46">
        <v>0</v>
      </c>
      <c r="G61" s="47" t="s">
        <v>147</v>
      </c>
      <c r="H61" s="46">
        <v>6012.93</v>
      </c>
      <c r="I61" s="46">
        <v>0</v>
      </c>
      <c r="J61" s="46">
        <v>0</v>
      </c>
      <c r="K61" s="47" t="s">
        <v>147</v>
      </c>
      <c r="L61" s="123"/>
      <c r="O61" s="273"/>
      <c r="P61" s="275">
        <f t="shared" si="0"/>
        <v>0</v>
      </c>
      <c r="Q61" s="275">
        <f t="shared" si="1"/>
        <v>0</v>
      </c>
      <c r="R61" s="276">
        <f t="shared" si="2"/>
        <v>0</v>
      </c>
    </row>
    <row r="62" spans="2:18" ht="12.75">
      <c r="B62" s="403"/>
      <c r="C62" s="71" t="s">
        <v>169</v>
      </c>
      <c r="D62" s="45">
        <v>112.9692</v>
      </c>
      <c r="E62" s="46">
        <v>0</v>
      </c>
      <c r="F62" s="46">
        <v>0</v>
      </c>
      <c r="G62" s="47" t="s">
        <v>147</v>
      </c>
      <c r="H62" s="46">
        <v>724.35</v>
      </c>
      <c r="I62" s="46">
        <v>0</v>
      </c>
      <c r="J62" s="46">
        <v>0</v>
      </c>
      <c r="K62" s="47" t="s">
        <v>147</v>
      </c>
      <c r="L62" s="123"/>
      <c r="O62" s="273"/>
      <c r="P62" s="275">
        <f t="shared" si="0"/>
        <v>0</v>
      </c>
      <c r="Q62" s="275">
        <f t="shared" si="1"/>
        <v>0</v>
      </c>
      <c r="R62" s="276">
        <f t="shared" si="2"/>
        <v>0</v>
      </c>
    </row>
    <row r="63" spans="2:18" ht="12.75" customHeight="1">
      <c r="B63" s="403"/>
      <c r="C63" s="71" t="s">
        <v>98</v>
      </c>
      <c r="D63" s="45">
        <v>725</v>
      </c>
      <c r="E63" s="46">
        <v>0</v>
      </c>
      <c r="F63" s="46">
        <v>0</v>
      </c>
      <c r="G63" s="47" t="s">
        <v>147</v>
      </c>
      <c r="H63" s="46">
        <v>602.82</v>
      </c>
      <c r="I63" s="46">
        <v>0</v>
      </c>
      <c r="J63" s="46">
        <v>0</v>
      </c>
      <c r="K63" s="47" t="s">
        <v>147</v>
      </c>
      <c r="L63" s="124"/>
      <c r="O63" s="273"/>
      <c r="P63" s="275">
        <f t="shared" si="0"/>
        <v>0</v>
      </c>
      <c r="Q63" s="275">
        <f t="shared" si="1"/>
        <v>0</v>
      </c>
      <c r="R63" s="276">
        <f t="shared" si="2"/>
        <v>0</v>
      </c>
    </row>
    <row r="64" spans="2:18" ht="12.75" customHeight="1">
      <c r="B64" s="403"/>
      <c r="C64" s="71" t="s">
        <v>80</v>
      </c>
      <c r="D64" s="45">
        <v>1125</v>
      </c>
      <c r="E64" s="46">
        <v>0</v>
      </c>
      <c r="F64" s="46">
        <v>0</v>
      </c>
      <c r="G64" s="47" t="s">
        <v>147</v>
      </c>
      <c r="H64" s="46">
        <v>161.86</v>
      </c>
      <c r="I64" s="46">
        <v>0</v>
      </c>
      <c r="J64" s="46">
        <v>0</v>
      </c>
      <c r="K64" s="47" t="s">
        <v>147</v>
      </c>
      <c r="L64" s="123"/>
      <c r="P64" s="275">
        <f t="shared" si="0"/>
        <v>0</v>
      </c>
      <c r="Q64" s="275">
        <f t="shared" si="1"/>
        <v>0</v>
      </c>
      <c r="R64" s="276">
        <f t="shared" si="2"/>
        <v>0</v>
      </c>
    </row>
    <row r="65" spans="2:18" ht="15">
      <c r="B65" s="138" t="s">
        <v>116</v>
      </c>
      <c r="C65" s="139"/>
      <c r="D65" s="64">
        <v>2076654.8941999997</v>
      </c>
      <c r="E65" s="65">
        <v>115303</v>
      </c>
      <c r="F65" s="65">
        <v>222028</v>
      </c>
      <c r="G65" s="66">
        <v>92.56047110656272</v>
      </c>
      <c r="H65" s="65">
        <v>1969126.2700000003</v>
      </c>
      <c r="I65" s="65">
        <v>110589.56</v>
      </c>
      <c r="J65" s="65">
        <v>180129.58</v>
      </c>
      <c r="K65" s="66">
        <v>62.88117974246392</v>
      </c>
      <c r="L65" s="123"/>
      <c r="O65" s="281">
        <f>+J65/$J$85</f>
        <v>0.024536986943933203</v>
      </c>
      <c r="P65" s="275">
        <f t="shared" si="0"/>
        <v>106725</v>
      </c>
      <c r="Q65" s="275">
        <f t="shared" si="1"/>
        <v>69540.01999999999</v>
      </c>
      <c r="R65" s="276">
        <f t="shared" si="2"/>
        <v>0.8112921793647647</v>
      </c>
    </row>
    <row r="66" spans="2:18" ht="12.75" customHeight="1">
      <c r="B66" s="393" t="s">
        <v>125</v>
      </c>
      <c r="C66" s="70" t="s">
        <v>96</v>
      </c>
      <c r="D66" s="41">
        <v>368031.75</v>
      </c>
      <c r="E66" s="42">
        <v>23343.75</v>
      </c>
      <c r="F66" s="42">
        <v>0</v>
      </c>
      <c r="G66" s="43">
        <v>-100</v>
      </c>
      <c r="H66" s="42">
        <v>272389.16</v>
      </c>
      <c r="I66" s="42">
        <v>17444.93</v>
      </c>
      <c r="J66" s="42">
        <v>0</v>
      </c>
      <c r="K66" s="43">
        <v>-100</v>
      </c>
      <c r="L66" s="123"/>
      <c r="O66" s="273"/>
      <c r="P66" s="275">
        <f t="shared" si="0"/>
        <v>-23343.75</v>
      </c>
      <c r="Q66" s="275">
        <f t="shared" si="1"/>
        <v>-17444.93</v>
      </c>
      <c r="R66" s="276">
        <f t="shared" si="2"/>
        <v>0</v>
      </c>
    </row>
    <row r="67" spans="2:18" ht="12.75" customHeight="1">
      <c r="B67" s="393"/>
      <c r="C67" s="71" t="s">
        <v>77</v>
      </c>
      <c r="D67" s="45">
        <v>65672.6538</v>
      </c>
      <c r="E67" s="46">
        <v>2677.3538</v>
      </c>
      <c r="F67" s="46">
        <v>10215</v>
      </c>
      <c r="G67" s="47">
        <v>281.53343797894775</v>
      </c>
      <c r="H67" s="46">
        <v>94172.32</v>
      </c>
      <c r="I67" s="46">
        <v>828.65</v>
      </c>
      <c r="J67" s="46">
        <v>23095.68</v>
      </c>
      <c r="K67" s="47">
        <v>2687.145356905811</v>
      </c>
      <c r="L67" s="123"/>
      <c r="O67" s="273"/>
      <c r="P67" s="275">
        <f t="shared" si="0"/>
        <v>7537.6462</v>
      </c>
      <c r="Q67" s="275">
        <f t="shared" si="1"/>
        <v>22267.03</v>
      </c>
      <c r="R67" s="276">
        <f t="shared" si="2"/>
        <v>2.260957415565345</v>
      </c>
    </row>
    <row r="68" spans="2:18" ht="12.75" customHeight="1">
      <c r="B68" s="393"/>
      <c r="C68" s="71" t="s">
        <v>127</v>
      </c>
      <c r="D68" s="45">
        <v>17178.597</v>
      </c>
      <c r="E68" s="46">
        <v>0</v>
      </c>
      <c r="F68" s="46">
        <v>0</v>
      </c>
      <c r="G68" s="47" t="s">
        <v>147</v>
      </c>
      <c r="H68" s="46">
        <v>85743.33</v>
      </c>
      <c r="I68" s="46">
        <v>0</v>
      </c>
      <c r="J68" s="46">
        <v>0</v>
      </c>
      <c r="K68" s="47" t="s">
        <v>147</v>
      </c>
      <c r="L68" s="123"/>
      <c r="O68" s="273"/>
      <c r="P68" s="275">
        <f t="shared" si="0"/>
        <v>0</v>
      </c>
      <c r="Q68" s="275">
        <f t="shared" si="1"/>
        <v>0</v>
      </c>
      <c r="R68" s="276">
        <f t="shared" si="2"/>
        <v>0</v>
      </c>
    </row>
    <row r="69" spans="2:18" ht="15">
      <c r="B69" s="138" t="s">
        <v>126</v>
      </c>
      <c r="C69" s="139"/>
      <c r="D69" s="64">
        <v>450883.0008</v>
      </c>
      <c r="E69" s="65">
        <v>26021.1038</v>
      </c>
      <c r="F69" s="65">
        <v>10215</v>
      </c>
      <c r="G69" s="66">
        <v>-60.74340243783202</v>
      </c>
      <c r="H69" s="65">
        <v>452304.81</v>
      </c>
      <c r="I69" s="65">
        <v>18273.58</v>
      </c>
      <c r="J69" s="65">
        <v>23095.68</v>
      </c>
      <c r="K69" s="66">
        <v>26.38837053275822</v>
      </c>
      <c r="L69" s="124"/>
      <c r="O69" s="281">
        <f>+J69/$J$85</f>
        <v>0.003146059623418093</v>
      </c>
      <c r="P69" s="275">
        <f t="shared" si="0"/>
        <v>-15806.1038</v>
      </c>
      <c r="Q69" s="275">
        <f t="shared" si="1"/>
        <v>4822.0999999999985</v>
      </c>
      <c r="R69" s="276">
        <f t="shared" si="2"/>
        <v>2.260957415565345</v>
      </c>
    </row>
    <row r="70" spans="2:18" ht="12.75">
      <c r="B70" s="402" t="s">
        <v>86</v>
      </c>
      <c r="C70" s="71" t="s">
        <v>127</v>
      </c>
      <c r="D70" s="45">
        <v>738</v>
      </c>
      <c r="E70" s="46">
        <v>0</v>
      </c>
      <c r="F70" s="46">
        <v>0</v>
      </c>
      <c r="G70" s="47" t="s">
        <v>147</v>
      </c>
      <c r="H70" s="46">
        <v>84943.33</v>
      </c>
      <c r="I70" s="46">
        <v>0</v>
      </c>
      <c r="J70" s="46">
        <v>0</v>
      </c>
      <c r="K70" s="47" t="s">
        <v>147</v>
      </c>
      <c r="L70" s="123"/>
      <c r="O70" s="273"/>
      <c r="P70" s="275">
        <f t="shared" si="0"/>
        <v>0</v>
      </c>
      <c r="Q70" s="275">
        <f t="shared" si="1"/>
        <v>0</v>
      </c>
      <c r="R70" s="276">
        <f t="shared" si="2"/>
        <v>0</v>
      </c>
    </row>
    <row r="71" spans="2:18" ht="15">
      <c r="B71" s="403"/>
      <c r="C71" s="71" t="s">
        <v>96</v>
      </c>
      <c r="D71" s="45">
        <v>57323.0769</v>
      </c>
      <c r="E71" s="46">
        <v>0</v>
      </c>
      <c r="F71" s="46">
        <v>0</v>
      </c>
      <c r="G71" s="47" t="s">
        <v>147</v>
      </c>
      <c r="H71" s="46">
        <v>58523.86</v>
      </c>
      <c r="I71" s="46">
        <v>0</v>
      </c>
      <c r="J71" s="46">
        <v>0</v>
      </c>
      <c r="K71" s="47" t="s">
        <v>147</v>
      </c>
      <c r="L71" s="124"/>
      <c r="P71" s="275">
        <f aca="true" t="shared" si="3" ref="P71:P85">+F71-E71</f>
        <v>0</v>
      </c>
      <c r="Q71" s="275">
        <f aca="true" t="shared" si="4" ref="Q71:Q85">+J71-I71</f>
        <v>0</v>
      </c>
      <c r="R71" s="276">
        <f aca="true" t="shared" si="5" ref="R71:R85">+IF(F71=0,0,J71/F71)</f>
        <v>0</v>
      </c>
    </row>
    <row r="72" spans="2:18" ht="12.75">
      <c r="B72" s="403"/>
      <c r="C72" s="71" t="s">
        <v>77</v>
      </c>
      <c r="D72" s="45">
        <v>67205.69</v>
      </c>
      <c r="E72" s="46">
        <v>0</v>
      </c>
      <c r="F72" s="46">
        <v>4865</v>
      </c>
      <c r="G72" s="47" t="s">
        <v>147</v>
      </c>
      <c r="H72" s="46">
        <v>7814.02</v>
      </c>
      <c r="I72" s="46">
        <v>0</v>
      </c>
      <c r="J72" s="46">
        <v>565.97</v>
      </c>
      <c r="K72" s="47" t="s">
        <v>147</v>
      </c>
      <c r="L72" s="124"/>
      <c r="O72" s="273"/>
      <c r="P72" s="275">
        <f t="shared" si="3"/>
        <v>4865</v>
      </c>
      <c r="Q72" s="275">
        <f t="shared" si="4"/>
        <v>565.97</v>
      </c>
      <c r="R72" s="276">
        <f t="shared" si="5"/>
        <v>0.11633504624871532</v>
      </c>
    </row>
    <row r="73" spans="2:18" ht="12.75" customHeight="1">
      <c r="B73" s="138" t="s">
        <v>118</v>
      </c>
      <c r="C73" s="139"/>
      <c r="D73" s="64">
        <v>125266.7669</v>
      </c>
      <c r="E73" s="65">
        <v>0</v>
      </c>
      <c r="F73" s="65">
        <v>4865</v>
      </c>
      <c r="G73" s="66" t="s">
        <v>147</v>
      </c>
      <c r="H73" s="65">
        <v>151281.21000000002</v>
      </c>
      <c r="I73" s="65">
        <v>0</v>
      </c>
      <c r="J73" s="65">
        <v>565.97</v>
      </c>
      <c r="K73" s="66" t="s">
        <v>147</v>
      </c>
      <c r="O73" s="281">
        <f>+J73/$J$85</f>
        <v>7.709560251380077E-05</v>
      </c>
      <c r="P73" s="275">
        <f t="shared" si="3"/>
        <v>4865</v>
      </c>
      <c r="Q73" s="275">
        <f t="shared" si="4"/>
        <v>565.97</v>
      </c>
      <c r="R73" s="276">
        <f t="shared" si="5"/>
        <v>0.11633504624871532</v>
      </c>
    </row>
    <row r="74" spans="2:18" ht="12.75">
      <c r="B74" s="402" t="s">
        <v>85</v>
      </c>
      <c r="C74" s="71" t="s">
        <v>127</v>
      </c>
      <c r="D74" s="45">
        <v>13608</v>
      </c>
      <c r="E74" s="46">
        <v>0</v>
      </c>
      <c r="F74" s="46">
        <v>0</v>
      </c>
      <c r="G74" s="47" t="s">
        <v>147</v>
      </c>
      <c r="H74" s="46">
        <v>22676</v>
      </c>
      <c r="I74" s="46">
        <v>0</v>
      </c>
      <c r="J74" s="46">
        <v>0</v>
      </c>
      <c r="K74" s="47" t="s">
        <v>147</v>
      </c>
      <c r="O74" s="273"/>
      <c r="P74" s="275">
        <f t="shared" si="3"/>
        <v>0</v>
      </c>
      <c r="Q74" s="275">
        <f t="shared" si="4"/>
        <v>0</v>
      </c>
      <c r="R74" s="276">
        <f t="shared" si="5"/>
        <v>0</v>
      </c>
    </row>
    <row r="75" spans="2:18" ht="12.75">
      <c r="B75" s="403"/>
      <c r="C75" s="71" t="s">
        <v>129</v>
      </c>
      <c r="D75" s="45">
        <v>20000</v>
      </c>
      <c r="E75" s="46">
        <v>0</v>
      </c>
      <c r="F75" s="46">
        <v>0</v>
      </c>
      <c r="G75" s="47" t="s">
        <v>147</v>
      </c>
      <c r="H75" s="46">
        <v>16300</v>
      </c>
      <c r="I75" s="46">
        <v>0</v>
      </c>
      <c r="J75" s="46">
        <v>0</v>
      </c>
      <c r="K75" s="47" t="s">
        <v>147</v>
      </c>
      <c r="O75" s="273"/>
      <c r="P75" s="275">
        <f t="shared" si="3"/>
        <v>0</v>
      </c>
      <c r="Q75" s="275">
        <f t="shared" si="4"/>
        <v>0</v>
      </c>
      <c r="R75" s="276">
        <f t="shared" si="5"/>
        <v>0</v>
      </c>
    </row>
    <row r="76" spans="2:18" ht="12.75">
      <c r="B76" s="403"/>
      <c r="C76" s="71" t="s">
        <v>102</v>
      </c>
      <c r="D76" s="45">
        <v>5389.0772</v>
      </c>
      <c r="E76" s="46">
        <v>0</v>
      </c>
      <c r="F76" s="46">
        <v>0</v>
      </c>
      <c r="G76" s="47" t="s">
        <v>147</v>
      </c>
      <c r="H76" s="46">
        <v>6599.38</v>
      </c>
      <c r="I76" s="46">
        <v>0</v>
      </c>
      <c r="J76" s="46">
        <v>0</v>
      </c>
      <c r="K76" s="47" t="s">
        <v>147</v>
      </c>
      <c r="O76" s="273"/>
      <c r="P76" s="275">
        <f t="shared" si="3"/>
        <v>0</v>
      </c>
      <c r="Q76" s="275">
        <f t="shared" si="4"/>
        <v>0</v>
      </c>
      <c r="R76" s="276">
        <f t="shared" si="5"/>
        <v>0</v>
      </c>
    </row>
    <row r="77" spans="2:18" ht="12.75">
      <c r="B77" s="403"/>
      <c r="C77" s="71" t="s">
        <v>77</v>
      </c>
      <c r="D77" s="45">
        <v>964.6308</v>
      </c>
      <c r="E77" s="46">
        <v>0</v>
      </c>
      <c r="F77" s="46">
        <v>0</v>
      </c>
      <c r="G77" s="47" t="s">
        <v>147</v>
      </c>
      <c r="H77" s="46">
        <v>216.91</v>
      </c>
      <c r="I77" s="46">
        <v>0</v>
      </c>
      <c r="J77" s="46">
        <v>0</v>
      </c>
      <c r="K77" s="47" t="s">
        <v>147</v>
      </c>
      <c r="O77" s="273"/>
      <c r="P77" s="275">
        <f t="shared" si="3"/>
        <v>0</v>
      </c>
      <c r="Q77" s="275">
        <f t="shared" si="4"/>
        <v>0</v>
      </c>
      <c r="R77" s="276">
        <f t="shared" si="5"/>
        <v>0</v>
      </c>
    </row>
    <row r="78" spans="2:18" ht="12.75">
      <c r="B78" s="403"/>
      <c r="C78" s="71" t="s">
        <v>95</v>
      </c>
      <c r="D78" s="45">
        <v>1.38</v>
      </c>
      <c r="E78" s="46">
        <v>1</v>
      </c>
      <c r="F78" s="46">
        <v>0</v>
      </c>
      <c r="G78" s="47">
        <v>-100</v>
      </c>
      <c r="H78" s="46">
        <v>167.27</v>
      </c>
      <c r="I78" s="46">
        <v>104.6</v>
      </c>
      <c r="J78" s="46">
        <v>0</v>
      </c>
      <c r="K78" s="47">
        <v>-100</v>
      </c>
      <c r="O78" s="273"/>
      <c r="P78" s="275">
        <f t="shared" si="3"/>
        <v>-1</v>
      </c>
      <c r="Q78" s="275">
        <f t="shared" si="4"/>
        <v>-104.6</v>
      </c>
      <c r="R78" s="276">
        <f t="shared" si="5"/>
        <v>0</v>
      </c>
    </row>
    <row r="79" spans="2:20" s="250" customFormat="1" ht="12.75">
      <c r="B79" s="403"/>
      <c r="C79" s="71" t="s">
        <v>98</v>
      </c>
      <c r="D79" s="45">
        <v>21</v>
      </c>
      <c r="E79" s="46">
        <v>21</v>
      </c>
      <c r="F79" s="46">
        <v>1141.8698</v>
      </c>
      <c r="G79" s="47">
        <v>5337.475238095238</v>
      </c>
      <c r="H79" s="46">
        <v>34.5</v>
      </c>
      <c r="I79" s="46">
        <v>34.5</v>
      </c>
      <c r="J79" s="46">
        <v>1931.68</v>
      </c>
      <c r="K79" s="47">
        <v>5499.072463768116</v>
      </c>
      <c r="N79" s="171"/>
      <c r="O79" s="273"/>
      <c r="P79" s="275">
        <f t="shared" si="3"/>
        <v>1120.8698</v>
      </c>
      <c r="Q79" s="275">
        <f t="shared" si="4"/>
        <v>1897.18</v>
      </c>
      <c r="R79" s="276">
        <f t="shared" si="5"/>
        <v>1.6916814859277303</v>
      </c>
      <c r="S79" s="171"/>
      <c r="T79" s="171"/>
    </row>
    <row r="80" spans="2:18" ht="15">
      <c r="B80" s="138" t="s">
        <v>117</v>
      </c>
      <c r="C80" s="139"/>
      <c r="D80" s="64">
        <v>39984.088</v>
      </c>
      <c r="E80" s="65">
        <v>22</v>
      </c>
      <c r="F80" s="65">
        <v>1141.8698</v>
      </c>
      <c r="G80" s="66">
        <v>5090.317272727272</v>
      </c>
      <c r="H80" s="65">
        <v>45994.06</v>
      </c>
      <c r="I80" s="65">
        <v>139.1</v>
      </c>
      <c r="J80" s="65">
        <v>1931.68</v>
      </c>
      <c r="K80" s="66">
        <v>1288.6987778576565</v>
      </c>
      <c r="O80" s="281">
        <f>+J80/$J$85</f>
        <v>0.00026313061374959567</v>
      </c>
      <c r="P80" s="275">
        <f t="shared" si="3"/>
        <v>1119.8698</v>
      </c>
      <c r="Q80" s="275">
        <f t="shared" si="4"/>
        <v>1792.5800000000002</v>
      </c>
      <c r="R80" s="276">
        <f t="shared" si="5"/>
        <v>1.6916814859277303</v>
      </c>
    </row>
    <row r="81" spans="2:20" s="250" customFormat="1" ht="15">
      <c r="B81" s="271" t="s">
        <v>249</v>
      </c>
      <c r="C81" s="185" t="s">
        <v>77</v>
      </c>
      <c r="D81" s="186">
        <v>4375</v>
      </c>
      <c r="E81" s="186">
        <v>0</v>
      </c>
      <c r="F81" s="186">
        <v>3845</v>
      </c>
      <c r="G81" s="187" t="s">
        <v>147</v>
      </c>
      <c r="H81" s="186">
        <v>469.7</v>
      </c>
      <c r="I81" s="186">
        <v>0</v>
      </c>
      <c r="J81" s="186">
        <v>492.19</v>
      </c>
      <c r="K81" s="187" t="s">
        <v>147</v>
      </c>
      <c r="N81" s="171"/>
      <c r="O81" s="281"/>
      <c r="P81" s="275">
        <f t="shared" si="3"/>
        <v>3845</v>
      </c>
      <c r="Q81" s="275">
        <f t="shared" si="4"/>
        <v>492.19</v>
      </c>
      <c r="R81" s="276">
        <f t="shared" si="5"/>
        <v>0.12800780234070222</v>
      </c>
      <c r="S81" s="171"/>
      <c r="T81" s="171"/>
    </row>
    <row r="82" spans="2:20" s="250" customFormat="1" ht="15">
      <c r="B82" s="138" t="s">
        <v>250</v>
      </c>
      <c r="C82" s="139"/>
      <c r="D82" s="64">
        <v>4375</v>
      </c>
      <c r="E82" s="65">
        <v>0</v>
      </c>
      <c r="F82" s="65">
        <v>3845</v>
      </c>
      <c r="G82" s="66" t="s">
        <v>147</v>
      </c>
      <c r="H82" s="65">
        <v>469.7</v>
      </c>
      <c r="I82" s="65">
        <v>0</v>
      </c>
      <c r="J82" s="65">
        <v>492.19</v>
      </c>
      <c r="K82" s="66" t="s">
        <v>147</v>
      </c>
      <c r="N82" s="171"/>
      <c r="O82" s="281">
        <f>+J82/$J$85</f>
        <v>6.704539922834708E-05</v>
      </c>
      <c r="P82" s="275">
        <f t="shared" si="3"/>
        <v>3845</v>
      </c>
      <c r="Q82" s="275">
        <f t="shared" si="4"/>
        <v>492.19</v>
      </c>
      <c r="R82" s="276">
        <f t="shared" si="5"/>
        <v>0.12800780234070222</v>
      </c>
      <c r="S82" s="171"/>
      <c r="T82" s="171"/>
    </row>
    <row r="83" spans="2:18" ht="25.5">
      <c r="B83" s="238" t="s">
        <v>191</v>
      </c>
      <c r="C83" s="185" t="s">
        <v>95</v>
      </c>
      <c r="D83" s="186">
        <v>1.339</v>
      </c>
      <c r="E83" s="186">
        <v>0</v>
      </c>
      <c r="F83" s="186">
        <v>0</v>
      </c>
      <c r="G83" s="187" t="s">
        <v>147</v>
      </c>
      <c r="H83" s="186">
        <v>203.57</v>
      </c>
      <c r="I83" s="186">
        <v>0</v>
      </c>
      <c r="J83" s="186">
        <v>0</v>
      </c>
      <c r="K83" s="187" t="s">
        <v>147</v>
      </c>
      <c r="O83" s="273"/>
      <c r="P83" s="275">
        <f t="shared" si="3"/>
        <v>0</v>
      </c>
      <c r="Q83" s="275">
        <f t="shared" si="4"/>
        <v>0</v>
      </c>
      <c r="R83" s="276">
        <f t="shared" si="5"/>
        <v>0</v>
      </c>
    </row>
    <row r="84" spans="2:18" ht="15">
      <c r="B84" s="138" t="s">
        <v>192</v>
      </c>
      <c r="C84" s="139"/>
      <c r="D84" s="64">
        <v>1.339</v>
      </c>
      <c r="E84" s="65">
        <v>0</v>
      </c>
      <c r="F84" s="65">
        <v>0</v>
      </c>
      <c r="G84" s="66" t="s">
        <v>147</v>
      </c>
      <c r="H84" s="65">
        <v>203.57</v>
      </c>
      <c r="I84" s="65">
        <v>0</v>
      </c>
      <c r="J84" s="65">
        <v>0</v>
      </c>
      <c r="K84" s="66" t="s">
        <v>147</v>
      </c>
      <c r="O84" s="281">
        <f>+J84/$J$85</f>
        <v>0</v>
      </c>
      <c r="P84" s="275">
        <f t="shared" si="3"/>
        <v>0</v>
      </c>
      <c r="Q84" s="275">
        <f t="shared" si="4"/>
        <v>0</v>
      </c>
      <c r="R84" s="276">
        <f t="shared" si="5"/>
        <v>0</v>
      </c>
    </row>
    <row r="85" spans="2:18" ht="12.75">
      <c r="B85" s="138" t="s">
        <v>93</v>
      </c>
      <c r="C85" s="139"/>
      <c r="D85" s="64">
        <v>107350683.4938</v>
      </c>
      <c r="E85" s="65">
        <v>7689567.536799999</v>
      </c>
      <c r="F85" s="65">
        <v>8709303.5558</v>
      </c>
      <c r="G85" s="66">
        <v>13.261292187367445</v>
      </c>
      <c r="H85" s="65">
        <v>98534478.25999993</v>
      </c>
      <c r="I85" s="65">
        <v>6634809.249999998</v>
      </c>
      <c r="J85" s="65">
        <v>7341145.04</v>
      </c>
      <c r="K85" s="66">
        <v>10.64590952633646</v>
      </c>
      <c r="O85" s="273"/>
      <c r="P85" s="275">
        <f t="shared" si="3"/>
        <v>1019736.0190000013</v>
      </c>
      <c r="Q85" s="275">
        <f t="shared" si="4"/>
        <v>706335.7900000019</v>
      </c>
      <c r="R85" s="276">
        <f t="shared" si="5"/>
        <v>0.8429083902020077</v>
      </c>
    </row>
    <row r="86" spans="2:16" ht="12.75">
      <c r="B86" s="125" t="s">
        <v>153</v>
      </c>
      <c r="C86" s="125"/>
      <c r="D86" s="125"/>
      <c r="E86" s="125"/>
      <c r="F86" s="125"/>
      <c r="G86" s="125"/>
      <c r="H86" s="125"/>
      <c r="I86" s="125"/>
      <c r="J86" s="125"/>
      <c r="K86" s="125"/>
      <c r="O86" s="273"/>
      <c r="P86" s="273"/>
    </row>
    <row r="87" spans="15:16" ht="12.75">
      <c r="O87" s="273"/>
      <c r="P87" s="273"/>
    </row>
    <row r="88" spans="15:16" ht="12.75">
      <c r="O88" s="273"/>
      <c r="P88" s="273"/>
    </row>
    <row r="89" spans="15:16" ht="12.75">
      <c r="O89" s="273"/>
      <c r="P89" s="273"/>
    </row>
    <row r="90" spans="15:16" ht="12.75">
      <c r="O90" s="273"/>
      <c r="P90" s="273"/>
    </row>
    <row r="91" spans="15:16" ht="12.75">
      <c r="O91" s="273"/>
      <c r="P91" s="273"/>
    </row>
    <row r="92" spans="15:16" ht="12.75">
      <c r="O92" s="273"/>
      <c r="P92" s="273"/>
    </row>
    <row r="93" spans="15:16" ht="12.75">
      <c r="O93" s="273"/>
      <c r="P93" s="273"/>
    </row>
    <row r="94" spans="15:16" ht="12.75">
      <c r="O94" s="273"/>
      <c r="P94" s="273"/>
    </row>
    <row r="95" spans="15:16" ht="12.75">
      <c r="O95" s="273"/>
      <c r="P95" s="273"/>
    </row>
    <row r="96" spans="15:16" ht="12.75">
      <c r="O96" s="273"/>
      <c r="P96" s="273"/>
    </row>
    <row r="97" spans="15:16" ht="12.75">
      <c r="O97" s="273"/>
      <c r="P97" s="273"/>
    </row>
    <row r="98" spans="15:16" ht="12.75">
      <c r="O98" s="273"/>
      <c r="P98" s="273"/>
    </row>
    <row r="99" spans="15:16" ht="12.75">
      <c r="O99" s="273"/>
      <c r="P99" s="273"/>
    </row>
    <row r="100" spans="15:16" ht="12.75">
      <c r="O100" s="273"/>
      <c r="P100" s="273"/>
    </row>
    <row r="101" spans="15:16" ht="12.75">
      <c r="O101" s="273"/>
      <c r="P101" s="273"/>
    </row>
    <row r="102" spans="15:16" ht="12.75">
      <c r="O102" s="273"/>
      <c r="P102" s="273"/>
    </row>
    <row r="103" spans="15:16" ht="12.75">
      <c r="O103" s="273"/>
      <c r="P103" s="273"/>
    </row>
    <row r="104" spans="15:16" ht="12.75">
      <c r="O104" s="273"/>
      <c r="P104" s="273"/>
    </row>
    <row r="105" spans="15:16" ht="12.75">
      <c r="O105" s="273"/>
      <c r="P105" s="273"/>
    </row>
    <row r="106" spans="15:16" ht="12.75">
      <c r="O106" s="273"/>
      <c r="P106" s="273"/>
    </row>
    <row r="107" spans="15:16" ht="12.75">
      <c r="O107" s="273"/>
      <c r="P107" s="273"/>
    </row>
    <row r="108" spans="15:16" ht="12.75">
      <c r="O108" s="273"/>
      <c r="P108" s="273"/>
    </row>
  </sheetData>
  <sheetProtection/>
  <mergeCells count="12">
    <mergeCell ref="B2:K2"/>
    <mergeCell ref="D4:G4"/>
    <mergeCell ref="H4:K4"/>
    <mergeCell ref="B4:B5"/>
    <mergeCell ref="C4:C5"/>
    <mergeCell ref="B6:B19"/>
    <mergeCell ref="B74:B79"/>
    <mergeCell ref="B70:B72"/>
    <mergeCell ref="B41:B49"/>
    <mergeCell ref="B66:B68"/>
    <mergeCell ref="B51:B64"/>
    <mergeCell ref="B21:B39"/>
  </mergeCells>
  <conditionalFormatting sqref="P6:P85">
    <cfRule type="colorScale" priority="16" dxfId="2">
      <colorScale>
        <cfvo type="min" val="0"/>
        <cfvo type="percentile" val="50"/>
        <cfvo type="max"/>
        <color rgb="FFF8696B"/>
        <color rgb="FFFFEB84"/>
        <color rgb="FF63BE7B"/>
      </colorScale>
    </cfRule>
  </conditionalFormatting>
  <conditionalFormatting sqref="Q6:Q85">
    <cfRule type="colorScale" priority="1" dxfId="2">
      <colorScale>
        <cfvo type="min" val="0"/>
        <cfvo type="percentile" val="50"/>
        <cfvo type="max"/>
        <color rgb="FFF8696B"/>
        <color rgb="FFFFEB84"/>
        <color rgb="FF63BE7B"/>
      </colorScale>
    </cfRule>
  </conditionalFormatting>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A1" sqref="A1"/>
    </sheetView>
  </sheetViews>
  <sheetFormatPr defaultColWidth="10.8515625" defaultRowHeight="15"/>
  <cols>
    <col min="1" max="9" width="10.57421875" style="113" customWidth="1"/>
    <col min="10" max="23" width="10.8515625" style="113" customWidth="1"/>
    <col min="24" max="16384" width="10.8515625" style="113" customWidth="1"/>
  </cols>
  <sheetData>
    <row r="1" spans="2:3" ht="15">
      <c r="B1" s="112"/>
      <c r="C1" s="112"/>
    </row>
    <row r="5" spans="2:8" ht="15.75">
      <c r="B5" s="77"/>
      <c r="C5" s="77"/>
      <c r="D5" s="78"/>
      <c r="E5" s="228" t="s">
        <v>111</v>
      </c>
      <c r="F5" s="78"/>
      <c r="G5" s="77"/>
      <c r="H5" s="77"/>
    </row>
    <row r="6" spans="2:8" ht="15" customHeight="1">
      <c r="B6" s="77"/>
      <c r="C6" s="77"/>
      <c r="E6" s="145" t="str">
        <f>+Portada!E42</f>
        <v>Febrero 2017</v>
      </c>
      <c r="F6" s="144"/>
      <c r="G6" s="77"/>
      <c r="H6" s="77"/>
    </row>
    <row r="7" spans="2:8" ht="15">
      <c r="B7" s="77"/>
      <c r="C7" s="77"/>
      <c r="D7" s="78"/>
      <c r="E7" s="115" t="s">
        <v>254</v>
      </c>
      <c r="F7" s="78"/>
      <c r="G7" s="77"/>
      <c r="H7" s="77"/>
    </row>
    <row r="8" spans="2:8" ht="15">
      <c r="B8" s="77"/>
      <c r="D8" s="116"/>
      <c r="F8" s="116"/>
      <c r="G8" s="116"/>
      <c r="H8" s="77"/>
    </row>
    <row r="9" spans="2:8" ht="15">
      <c r="B9" s="77"/>
      <c r="C9" s="77"/>
      <c r="D9" s="77"/>
      <c r="E9" s="77"/>
      <c r="F9" s="77"/>
      <c r="G9" s="77"/>
      <c r="H9" s="77"/>
    </row>
    <row r="10" spans="2:8" ht="15">
      <c r="B10" s="77"/>
      <c r="C10" s="77"/>
      <c r="D10" s="78"/>
      <c r="E10" s="109" t="s">
        <v>145</v>
      </c>
      <c r="F10" s="78"/>
      <c r="G10" s="77"/>
      <c r="H10" s="77"/>
    </row>
    <row r="11" spans="2:8" ht="15">
      <c r="B11" s="77"/>
      <c r="C11" s="77"/>
      <c r="D11" s="77"/>
      <c r="E11" s="77"/>
      <c r="F11" s="77"/>
      <c r="G11" s="77"/>
      <c r="H11" s="77"/>
    </row>
    <row r="12" spans="2:8" ht="15">
      <c r="B12" s="77"/>
      <c r="C12" s="77"/>
      <c r="D12" s="77"/>
      <c r="E12" s="77"/>
      <c r="F12" s="77"/>
      <c r="G12" s="77"/>
      <c r="H12" s="77"/>
    </row>
    <row r="13" spans="2:8" ht="15">
      <c r="B13" s="77"/>
      <c r="C13" s="77"/>
      <c r="D13" s="77"/>
      <c r="E13" s="77"/>
      <c r="F13" s="77"/>
      <c r="G13" s="77"/>
      <c r="H13" s="77"/>
    </row>
    <row r="14" spans="2:8" ht="15">
      <c r="B14" s="77"/>
      <c r="C14" s="77"/>
      <c r="D14" s="77"/>
      <c r="E14" s="77"/>
      <c r="F14" s="77"/>
      <c r="G14" s="77"/>
      <c r="H14" s="77"/>
    </row>
    <row r="15" spans="2:8" ht="15">
      <c r="B15" s="77"/>
      <c r="C15" s="77"/>
      <c r="D15" s="77"/>
      <c r="E15" s="77"/>
      <c r="F15" s="77"/>
      <c r="G15" s="77"/>
      <c r="H15" s="77"/>
    </row>
    <row r="16" spans="2:8" ht="15">
      <c r="B16" s="78"/>
      <c r="D16" s="117"/>
      <c r="E16" s="115" t="s">
        <v>120</v>
      </c>
      <c r="F16" s="117"/>
      <c r="G16" s="117"/>
      <c r="H16" s="78"/>
    </row>
    <row r="17" spans="2:8" ht="15">
      <c r="B17" s="77"/>
      <c r="D17" s="117"/>
      <c r="E17" s="115" t="s">
        <v>0</v>
      </c>
      <c r="F17" s="117"/>
      <c r="G17" s="117"/>
      <c r="H17" s="77"/>
    </row>
    <row r="18" spans="2:8" ht="15">
      <c r="B18" s="78"/>
      <c r="D18" s="118"/>
      <c r="E18" s="119" t="s">
        <v>1</v>
      </c>
      <c r="F18" s="118"/>
      <c r="G18" s="118"/>
      <c r="H18" s="78"/>
    </row>
    <row r="19" spans="2:8" ht="15">
      <c r="B19" s="78"/>
      <c r="C19" s="78"/>
      <c r="D19" s="78"/>
      <c r="E19" s="78"/>
      <c r="F19" s="78"/>
      <c r="G19" s="78"/>
      <c r="H19" s="78"/>
    </row>
    <row r="20" spans="2:8" ht="15">
      <c r="B20" s="78"/>
      <c r="E20" s="135" t="s">
        <v>161</v>
      </c>
      <c r="F20" s="135"/>
      <c r="G20" s="135"/>
      <c r="H20" s="114"/>
    </row>
    <row r="21" spans="2:8" ht="15">
      <c r="B21" s="78"/>
      <c r="E21" s="135" t="s">
        <v>144</v>
      </c>
      <c r="F21" s="135"/>
      <c r="G21" s="135"/>
      <c r="H21" s="114"/>
    </row>
    <row r="22" spans="2:8" ht="15">
      <c r="B22" s="78"/>
      <c r="C22" s="78"/>
      <c r="D22" s="78"/>
      <c r="E22" s="78"/>
      <c r="F22" s="78"/>
      <c r="G22" s="78"/>
      <c r="H22" s="78"/>
    </row>
    <row r="23" spans="2:8" ht="15">
      <c r="B23" s="78"/>
      <c r="C23" s="78"/>
      <c r="D23" s="77"/>
      <c r="E23" s="77"/>
      <c r="F23" s="77"/>
      <c r="G23" s="78"/>
      <c r="H23" s="78"/>
    </row>
    <row r="24" spans="2:8" ht="15">
      <c r="B24" s="78"/>
      <c r="C24" s="78"/>
      <c r="D24" s="77"/>
      <c r="E24" s="77"/>
      <c r="F24" s="77"/>
      <c r="G24" s="78"/>
      <c r="H24" s="78"/>
    </row>
    <row r="25" spans="2:8" ht="15">
      <c r="B25" s="78"/>
      <c r="C25" s="78"/>
      <c r="D25" s="78"/>
      <c r="E25" s="78"/>
      <c r="F25" s="78"/>
      <c r="G25" s="78"/>
      <c r="H25" s="78"/>
    </row>
    <row r="26" spans="2:8" ht="15">
      <c r="B26" s="77"/>
      <c r="C26" s="77"/>
      <c r="D26" s="77"/>
      <c r="E26" s="77"/>
      <c r="F26" s="77"/>
      <c r="G26" s="77"/>
      <c r="H26" s="77"/>
    </row>
    <row r="27" spans="2:8" ht="15">
      <c r="B27" s="77"/>
      <c r="C27" s="77"/>
      <c r="D27" s="77"/>
      <c r="E27" s="77"/>
      <c r="F27" s="77"/>
      <c r="G27" s="77"/>
      <c r="H27" s="77"/>
    </row>
    <row r="28" spans="4:8" ht="15">
      <c r="D28" s="120"/>
      <c r="E28" s="229" t="s">
        <v>108</v>
      </c>
      <c r="F28" s="120"/>
      <c r="G28" s="120"/>
      <c r="H28" s="114"/>
    </row>
    <row r="29" spans="2:8" ht="15">
      <c r="B29" s="77"/>
      <c r="C29" s="77"/>
      <c r="D29" s="77"/>
      <c r="E29" s="77"/>
      <c r="F29" s="77"/>
      <c r="G29" s="77"/>
      <c r="H29" s="77"/>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70" workbookViewId="0" topLeftCell="A1">
      <selection activeCell="A1" sqref="A1"/>
    </sheetView>
  </sheetViews>
  <sheetFormatPr defaultColWidth="10.8515625" defaultRowHeight="15"/>
  <cols>
    <col min="1" max="1" width="1.28515625" style="231" customWidth="1"/>
    <col min="2" max="9" width="11.00390625" style="231" customWidth="1"/>
    <col min="10" max="10" width="2.00390625" style="231" customWidth="1"/>
    <col min="11" max="26" width="10.8515625" style="231" customWidth="1"/>
    <col min="27" max="16384" width="10.8515625" style="231" customWidth="1"/>
  </cols>
  <sheetData>
    <row r="2" spans="2:11" ht="15">
      <c r="B2" s="335" t="s">
        <v>165</v>
      </c>
      <c r="C2" s="335"/>
      <c r="D2" s="335"/>
      <c r="E2" s="335"/>
      <c r="F2" s="335"/>
      <c r="G2" s="335"/>
      <c r="H2" s="335"/>
      <c r="I2" s="335"/>
      <c r="J2" s="230"/>
      <c r="K2" s="72" t="s">
        <v>152</v>
      </c>
    </row>
    <row r="3" spans="2:10" ht="14.25">
      <c r="B3" s="232"/>
      <c r="C3" s="232"/>
      <c r="D3" s="232"/>
      <c r="E3" s="232"/>
      <c r="F3" s="232"/>
      <c r="G3" s="232"/>
      <c r="H3" s="232"/>
      <c r="I3" s="232"/>
      <c r="J3" s="232"/>
    </row>
    <row r="4" spans="2:10" ht="34.5" customHeight="1">
      <c r="B4" s="336" t="s">
        <v>193</v>
      </c>
      <c r="C4" s="336"/>
      <c r="D4" s="336"/>
      <c r="E4" s="336"/>
      <c r="F4" s="336"/>
      <c r="G4" s="336"/>
      <c r="H4" s="336"/>
      <c r="I4" s="336"/>
      <c r="J4" s="233"/>
    </row>
    <row r="5" spans="2:10" ht="29.25" customHeight="1">
      <c r="B5" s="336" t="s">
        <v>167</v>
      </c>
      <c r="C5" s="336"/>
      <c r="D5" s="336"/>
      <c r="E5" s="336"/>
      <c r="F5" s="336"/>
      <c r="G5" s="336"/>
      <c r="H5" s="336"/>
      <c r="I5" s="336"/>
      <c r="J5" s="233"/>
    </row>
    <row r="6" spans="2:10" ht="18" customHeight="1">
      <c r="B6" s="334" t="s">
        <v>166</v>
      </c>
      <c r="C6" s="334"/>
      <c r="D6" s="334"/>
      <c r="E6" s="334"/>
      <c r="F6" s="334"/>
      <c r="G6" s="334"/>
      <c r="H6" s="334"/>
      <c r="I6" s="334"/>
      <c r="J6" s="233"/>
    </row>
    <row r="7" spans="2:10" ht="34.5" customHeight="1">
      <c r="B7" s="334" t="s">
        <v>168</v>
      </c>
      <c r="C7" s="334"/>
      <c r="D7" s="334"/>
      <c r="E7" s="334"/>
      <c r="F7" s="334"/>
      <c r="G7" s="334"/>
      <c r="H7" s="334"/>
      <c r="I7" s="334"/>
      <c r="J7" s="233"/>
    </row>
    <row r="8" spans="2:10" ht="34.5" customHeight="1">
      <c r="B8" s="334" t="s">
        <v>170</v>
      </c>
      <c r="C8" s="334"/>
      <c r="D8" s="334"/>
      <c r="E8" s="334"/>
      <c r="F8" s="334"/>
      <c r="G8" s="334"/>
      <c r="H8" s="334"/>
      <c r="I8" s="334"/>
      <c r="J8" s="233"/>
    </row>
    <row r="9" spans="2:9" ht="14.25">
      <c r="B9" s="334" t="s">
        <v>183</v>
      </c>
      <c r="C9" s="334"/>
      <c r="D9" s="334"/>
      <c r="E9" s="334"/>
      <c r="F9" s="334"/>
      <c r="G9" s="334"/>
      <c r="H9" s="334"/>
      <c r="I9" s="334"/>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7"/>
  <sheetViews>
    <sheetView zoomScale="80" zoomScaleNormal="80" zoomScalePageLayoutView="90" workbookViewId="0" topLeftCell="A1">
      <selection activeCell="C25" sqref="C25"/>
    </sheetView>
  </sheetViews>
  <sheetFormatPr defaultColWidth="10.8515625" defaultRowHeight="15"/>
  <cols>
    <col min="1" max="1" width="1.421875" style="5" customWidth="1"/>
    <col min="2" max="2" width="14.57421875" style="7" customWidth="1"/>
    <col min="3" max="3" width="76.28125" style="6" customWidth="1"/>
    <col min="4" max="4" width="7.421875" style="6" customWidth="1"/>
    <col min="5" max="5" width="1.8515625" style="5" customWidth="1"/>
    <col min="6" max="7" width="9.421875" style="5" customWidth="1"/>
    <col min="8" max="14" width="10.8515625" style="5" customWidth="1"/>
    <col min="15" max="16384" width="10.8515625" style="5" customWidth="1"/>
  </cols>
  <sheetData>
    <row r="1" ht="4.5" customHeight="1"/>
    <row r="2" spans="2:4" ht="12.75">
      <c r="B2" s="337" t="s">
        <v>56</v>
      </c>
      <c r="C2" s="337"/>
      <c r="D2" s="337"/>
    </row>
    <row r="3" spans="2:3" ht="12.75">
      <c r="B3" s="6"/>
      <c r="C3" s="62"/>
    </row>
    <row r="4" spans="2:4" ht="12.75">
      <c r="B4" s="22" t="s">
        <v>55</v>
      </c>
      <c r="C4" s="22" t="s">
        <v>52</v>
      </c>
      <c r="D4" s="21" t="s">
        <v>51</v>
      </c>
    </row>
    <row r="5" spans="2:4" ht="8.25" customHeight="1">
      <c r="B5" s="34"/>
      <c r="C5" s="19"/>
      <c r="D5" s="18"/>
    </row>
    <row r="6" spans="2:4" ht="12.75">
      <c r="B6" s="9">
        <v>1</v>
      </c>
      <c r="C6" s="71" t="s">
        <v>104</v>
      </c>
      <c r="D6" s="27">
        <v>5</v>
      </c>
    </row>
    <row r="7" spans="2:4" ht="12.75">
      <c r="B7" s="9">
        <v>2</v>
      </c>
      <c r="C7" s="71" t="s">
        <v>105</v>
      </c>
      <c r="D7" s="27">
        <v>5</v>
      </c>
    </row>
    <row r="8" spans="2:4" ht="12.75">
      <c r="B8" s="9">
        <v>3</v>
      </c>
      <c r="C8" s="71" t="s">
        <v>128</v>
      </c>
      <c r="D8" s="27">
        <v>5</v>
      </c>
    </row>
    <row r="9" spans="2:4" ht="12.75">
      <c r="B9" s="9">
        <v>4</v>
      </c>
      <c r="C9" s="71" t="s">
        <v>233</v>
      </c>
      <c r="D9" s="27">
        <v>5</v>
      </c>
    </row>
    <row r="10" spans="2:4" ht="12.75">
      <c r="B10" s="9">
        <v>5</v>
      </c>
      <c r="C10" s="95" t="s">
        <v>196</v>
      </c>
      <c r="D10" s="27">
        <v>5</v>
      </c>
    </row>
    <row r="11" spans="2:4" ht="7.5" customHeight="1">
      <c r="B11" s="17"/>
      <c r="C11" s="16"/>
      <c r="D11" s="15"/>
    </row>
    <row r="12" spans="2:4" ht="12.75">
      <c r="B12" s="22" t="s">
        <v>54</v>
      </c>
      <c r="C12" s="22" t="s">
        <v>52</v>
      </c>
      <c r="D12" s="21" t="s">
        <v>51</v>
      </c>
    </row>
    <row r="13" spans="2:4" ht="8.25" customHeight="1">
      <c r="B13" s="10"/>
      <c r="C13" s="12"/>
      <c r="D13" s="14"/>
    </row>
    <row r="14" spans="2:4" ht="12.75">
      <c r="B14" s="10">
        <v>1</v>
      </c>
      <c r="C14" s="8" t="s">
        <v>231</v>
      </c>
      <c r="D14" s="28">
        <v>6</v>
      </c>
    </row>
    <row r="15" spans="2:4" ht="12.75">
      <c r="B15" s="10">
        <v>2</v>
      </c>
      <c r="C15" s="8" t="s">
        <v>141</v>
      </c>
      <c r="D15" s="29">
        <v>7</v>
      </c>
    </row>
    <row r="16" spans="2:4" ht="12.75">
      <c r="B16" s="10">
        <v>3</v>
      </c>
      <c r="C16" s="8" t="s">
        <v>140</v>
      </c>
      <c r="D16" s="29">
        <v>8</v>
      </c>
    </row>
    <row r="17" spans="2:4" ht="12.75">
      <c r="B17" s="10">
        <v>4</v>
      </c>
      <c r="C17" s="8" t="s">
        <v>106</v>
      </c>
      <c r="D17" s="29">
        <v>9</v>
      </c>
    </row>
    <row r="18" spans="2:4" ht="12.75">
      <c r="B18" s="10">
        <v>5</v>
      </c>
      <c r="C18" s="8" t="s">
        <v>148</v>
      </c>
      <c r="D18" s="29">
        <v>10</v>
      </c>
    </row>
    <row r="19" spans="2:4" ht="12.75">
      <c r="B19" s="10">
        <v>6</v>
      </c>
      <c r="C19" s="8" t="s">
        <v>123</v>
      </c>
      <c r="D19" s="29">
        <v>11</v>
      </c>
    </row>
    <row r="20" spans="2:4" ht="12.75">
      <c r="B20" s="10">
        <v>7</v>
      </c>
      <c r="C20" s="8" t="s">
        <v>49</v>
      </c>
      <c r="D20" s="28">
        <v>12</v>
      </c>
    </row>
    <row r="21" spans="2:4" ht="12.75">
      <c r="B21" s="10">
        <v>8</v>
      </c>
      <c r="C21" s="8" t="s">
        <v>48</v>
      </c>
      <c r="D21" s="28">
        <v>13</v>
      </c>
    </row>
    <row r="22" spans="2:4" ht="12.75">
      <c r="B22" s="10">
        <v>9</v>
      </c>
      <c r="C22" s="8" t="s">
        <v>47</v>
      </c>
      <c r="D22" s="28">
        <v>14</v>
      </c>
    </row>
    <row r="23" spans="2:4" ht="15">
      <c r="B23" s="10">
        <v>10</v>
      </c>
      <c r="C23" s="8" t="s">
        <v>213</v>
      </c>
      <c r="D23" s="209">
        <v>15</v>
      </c>
    </row>
    <row r="24" spans="2:4" ht="12.75">
      <c r="B24" s="10">
        <v>11</v>
      </c>
      <c r="C24" s="8" t="s">
        <v>197</v>
      </c>
      <c r="D24" s="28">
        <v>16</v>
      </c>
    </row>
    <row r="25" spans="2:4" ht="12.75">
      <c r="B25" s="10">
        <v>12</v>
      </c>
      <c r="C25" s="8" t="s">
        <v>198</v>
      </c>
      <c r="D25" s="28">
        <v>17</v>
      </c>
    </row>
    <row r="26" spans="2:4" ht="6.75" customHeight="1">
      <c r="B26" s="10"/>
      <c r="C26" s="12"/>
      <c r="D26" s="11"/>
    </row>
    <row r="27" spans="2:4" ht="12.75">
      <c r="B27" s="22" t="s">
        <v>53</v>
      </c>
      <c r="C27" s="23" t="s">
        <v>52</v>
      </c>
      <c r="D27" s="21" t="s">
        <v>51</v>
      </c>
    </row>
    <row r="28" spans="2:4" ht="7.5" customHeight="1">
      <c r="B28" s="13"/>
      <c r="C28" s="12"/>
      <c r="D28" s="11"/>
    </row>
    <row r="29" spans="2:4" ht="12.75">
      <c r="B29" s="10">
        <v>1</v>
      </c>
      <c r="C29" s="24" t="s">
        <v>137</v>
      </c>
      <c r="D29" s="28">
        <v>6</v>
      </c>
    </row>
    <row r="30" spans="2:4" ht="12.75">
      <c r="B30" s="10">
        <v>2</v>
      </c>
      <c r="C30" s="6" t="s">
        <v>232</v>
      </c>
      <c r="D30" s="28">
        <v>7</v>
      </c>
    </row>
    <row r="31" spans="2:4" ht="12.75">
      <c r="B31" s="10">
        <v>3</v>
      </c>
      <c r="C31" s="6" t="s">
        <v>143</v>
      </c>
      <c r="D31" s="28">
        <v>8</v>
      </c>
    </row>
    <row r="32" spans="2:4" ht="12.75">
      <c r="B32" s="10">
        <v>4</v>
      </c>
      <c r="C32" s="6" t="s">
        <v>106</v>
      </c>
      <c r="D32" s="29">
        <v>9</v>
      </c>
    </row>
    <row r="33" spans="2:4" ht="12.75">
      <c r="B33" s="10">
        <v>5</v>
      </c>
      <c r="C33" s="8" t="s">
        <v>149</v>
      </c>
      <c r="D33" s="29">
        <v>10</v>
      </c>
    </row>
    <row r="34" spans="2:4" ht="12.75">
      <c r="B34" s="10">
        <v>6</v>
      </c>
      <c r="C34" s="8" t="s">
        <v>150</v>
      </c>
      <c r="D34" s="29">
        <v>10</v>
      </c>
    </row>
    <row r="35" spans="2:4" ht="12.75">
      <c r="B35" s="10">
        <v>7</v>
      </c>
      <c r="C35" s="6" t="s">
        <v>50</v>
      </c>
      <c r="D35" s="29">
        <v>11</v>
      </c>
    </row>
    <row r="36" spans="2:4" ht="12.75">
      <c r="B36" s="10">
        <v>8</v>
      </c>
      <c r="C36" s="6" t="s">
        <v>49</v>
      </c>
      <c r="D36" s="28">
        <v>12</v>
      </c>
    </row>
    <row r="37" spans="2:4" ht="12.75">
      <c r="B37" s="10">
        <v>9</v>
      </c>
      <c r="C37" s="6" t="s">
        <v>48</v>
      </c>
      <c r="D37" s="28">
        <v>13</v>
      </c>
    </row>
    <row r="38" spans="2:4" ht="12.75">
      <c r="B38" s="10">
        <v>10</v>
      </c>
      <c r="C38" s="6" t="s">
        <v>47</v>
      </c>
      <c r="D38" s="28">
        <v>14</v>
      </c>
    </row>
    <row r="39" spans="2:4" ht="12.75">
      <c r="B39" s="10"/>
      <c r="C39" s="8"/>
      <c r="D39" s="30"/>
    </row>
    <row r="40" spans="2:4" ht="12.75">
      <c r="B40" s="10"/>
      <c r="C40" s="8"/>
      <c r="D40" s="30"/>
    </row>
    <row r="41" spans="2:4" ht="12.75">
      <c r="B41" s="10"/>
      <c r="C41" s="8"/>
      <c r="D41" s="30"/>
    </row>
    <row r="42" spans="2:4" ht="12.75">
      <c r="B42" s="10"/>
      <c r="C42" s="8"/>
      <c r="D42" s="30"/>
    </row>
    <row r="43" spans="2:4" ht="12.75">
      <c r="B43" s="10"/>
      <c r="C43" s="8"/>
      <c r="D43" s="30"/>
    </row>
    <row r="44" spans="2:4" ht="12.75">
      <c r="B44" s="10"/>
      <c r="C44" s="8"/>
      <c r="D44" s="30"/>
    </row>
    <row r="45" spans="2:4" ht="12.75">
      <c r="B45" s="10"/>
      <c r="C45" s="8"/>
      <c r="D45" s="30"/>
    </row>
    <row r="46" spans="2:4" ht="12.75">
      <c r="B46" s="10"/>
      <c r="C46" s="8"/>
      <c r="D46" s="30"/>
    </row>
    <row r="47" spans="2:4" ht="12.75">
      <c r="B47" s="10"/>
      <c r="C47" s="8"/>
      <c r="D47" s="30"/>
    </row>
    <row r="48" spans="2:4" ht="12.75">
      <c r="B48" s="10"/>
      <c r="C48" s="8"/>
      <c r="D48" s="30"/>
    </row>
    <row r="49" spans="2:4" ht="12.75">
      <c r="B49" s="10"/>
      <c r="C49" s="8"/>
      <c r="D49" s="30"/>
    </row>
    <row r="50" spans="2:4" ht="12.75">
      <c r="B50" s="10"/>
      <c r="C50" s="8"/>
      <c r="D50" s="30"/>
    </row>
    <row r="51" spans="2:4" ht="12.75">
      <c r="B51" s="10"/>
      <c r="C51" s="8"/>
      <c r="D51" s="30"/>
    </row>
    <row r="52" spans="2:3" ht="12.75">
      <c r="B52" s="5"/>
      <c r="C52" s="5"/>
    </row>
    <row r="53" spans="2:3" ht="12.75">
      <c r="B53" s="5"/>
      <c r="C53" s="5"/>
    </row>
    <row r="54" spans="2:3" ht="12.75">
      <c r="B54" s="5"/>
      <c r="C54" s="5"/>
    </row>
    <row r="55" spans="2:3" ht="12.75">
      <c r="B55" s="5"/>
      <c r="C55" s="5"/>
    </row>
    <row r="56" spans="2:3" ht="12.75">
      <c r="B56" s="5"/>
      <c r="C56" s="5"/>
    </row>
    <row r="57" spans="2:4" ht="12.75">
      <c r="B57" s="9"/>
      <c r="C57" s="8"/>
      <c r="D57" s="8"/>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8"/>
  <sheetViews>
    <sheetView zoomScale="80" zoomScaleNormal="80" zoomScaleSheetLayoutView="90" zoomScalePageLayoutView="70" workbookViewId="0" topLeftCell="A1">
      <selection activeCell="M5" sqref="M5"/>
    </sheetView>
  </sheetViews>
  <sheetFormatPr defaultColWidth="10.8515625" defaultRowHeight="15"/>
  <cols>
    <col min="1" max="1" width="1.28515625" style="20" customWidth="1"/>
    <col min="2" max="10" width="15.8515625" style="20" customWidth="1"/>
    <col min="11" max="11" width="2.00390625" style="20" customWidth="1"/>
    <col min="12" max="18" width="10.8515625" style="20" customWidth="1"/>
    <col min="19" max="16384" width="10.8515625" style="20" customWidth="1"/>
  </cols>
  <sheetData>
    <row r="1" ht="7.5" customHeight="1"/>
    <row r="2" spans="2:12" ht="16.5" customHeight="1">
      <c r="B2" s="338" t="s">
        <v>160</v>
      </c>
      <c r="C2" s="339"/>
      <c r="D2" s="339"/>
      <c r="E2" s="339"/>
      <c r="F2" s="339"/>
      <c r="G2" s="339"/>
      <c r="H2" s="339"/>
      <c r="I2" s="339"/>
      <c r="J2" s="340"/>
      <c r="K2" s="190"/>
      <c r="L2" s="72" t="s">
        <v>152</v>
      </c>
    </row>
    <row r="3" spans="2:11" ht="12.75">
      <c r="B3" s="63"/>
      <c r="C3" s="2"/>
      <c r="D3" s="2"/>
      <c r="E3" s="2"/>
      <c r="F3" s="2"/>
      <c r="G3" s="2"/>
      <c r="H3" s="2"/>
      <c r="I3" s="2"/>
      <c r="J3" s="196"/>
      <c r="K3" s="2"/>
    </row>
    <row r="4" spans="2:11" ht="237" customHeight="1">
      <c r="B4" s="341" t="s">
        <v>274</v>
      </c>
      <c r="C4" s="342"/>
      <c r="D4" s="342"/>
      <c r="E4" s="342"/>
      <c r="F4" s="342"/>
      <c r="G4" s="342"/>
      <c r="H4" s="342"/>
      <c r="I4" s="342"/>
      <c r="J4" s="343"/>
      <c r="K4" s="191"/>
    </row>
    <row r="5" spans="2:11" ht="215.25" customHeight="1">
      <c r="B5" s="341" t="s">
        <v>275</v>
      </c>
      <c r="C5" s="342"/>
      <c r="D5" s="342"/>
      <c r="E5" s="342"/>
      <c r="F5" s="342"/>
      <c r="G5" s="342"/>
      <c r="H5" s="342"/>
      <c r="I5" s="342"/>
      <c r="J5" s="343"/>
      <c r="K5" s="191"/>
    </row>
    <row r="6" spans="2:11" ht="307.5" customHeight="1">
      <c r="B6" s="344" t="s">
        <v>253</v>
      </c>
      <c r="C6" s="345"/>
      <c r="D6" s="345"/>
      <c r="E6" s="345"/>
      <c r="F6" s="345"/>
      <c r="G6" s="345"/>
      <c r="H6" s="345"/>
      <c r="I6" s="345"/>
      <c r="J6" s="346"/>
      <c r="K6" s="191"/>
    </row>
    <row r="7" spans="2:11" ht="143.25" customHeight="1">
      <c r="B7" s="344" t="s">
        <v>276</v>
      </c>
      <c r="C7" s="345"/>
      <c r="D7" s="345"/>
      <c r="E7" s="345"/>
      <c r="F7" s="345"/>
      <c r="G7" s="345"/>
      <c r="H7" s="345"/>
      <c r="I7" s="345"/>
      <c r="J7" s="346"/>
      <c r="K7" s="191"/>
    </row>
    <row r="8" spans="2:10" ht="192.75" customHeight="1">
      <c r="B8" s="347" t="s">
        <v>277</v>
      </c>
      <c r="C8" s="348"/>
      <c r="D8" s="348"/>
      <c r="E8" s="348"/>
      <c r="F8" s="348"/>
      <c r="G8" s="348"/>
      <c r="H8" s="348"/>
      <c r="I8" s="348"/>
      <c r="J8" s="349"/>
    </row>
  </sheetData>
  <sheetProtection/>
  <mergeCells count="6">
    <mergeCell ref="B2:J2"/>
    <mergeCell ref="B4:J4"/>
    <mergeCell ref="B5:J5"/>
    <mergeCell ref="B6:J6"/>
    <mergeCell ref="B8:J8"/>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0"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Y60"/>
  <sheetViews>
    <sheetView zoomScale="80" zoomScaleNormal="80" zoomScaleSheetLayoutView="80" zoomScalePageLayoutView="80" workbookViewId="0" topLeftCell="A1">
      <selection activeCell="A1" sqref="A1"/>
    </sheetView>
  </sheetViews>
  <sheetFormatPr defaultColWidth="10.8515625" defaultRowHeight="15"/>
  <cols>
    <col min="1" max="1" width="1.421875" style="20" customWidth="1"/>
    <col min="2" max="2" width="38.421875" style="20" customWidth="1"/>
    <col min="3" max="7" width="10.8515625" style="20" customWidth="1"/>
    <col min="8" max="8" width="2.8515625" style="20" customWidth="1"/>
    <col min="9" max="11" width="10.8515625" style="20" customWidth="1"/>
    <col min="12" max="16384" width="10.8515625" style="20" customWidth="1"/>
  </cols>
  <sheetData>
    <row r="1" ht="13.5" customHeight="1"/>
    <row r="2" spans="2:9" ht="12.75" customHeight="1">
      <c r="B2" s="354" t="s">
        <v>57</v>
      </c>
      <c r="C2" s="354"/>
      <c r="D2" s="354"/>
      <c r="E2" s="354"/>
      <c r="F2" s="354"/>
      <c r="G2" s="354"/>
      <c r="I2" s="48" t="s">
        <v>152</v>
      </c>
    </row>
    <row r="3" spans="2:7" ht="12.75" customHeight="1">
      <c r="B3" s="354" t="s">
        <v>136</v>
      </c>
      <c r="C3" s="354"/>
      <c r="D3" s="354"/>
      <c r="E3" s="354"/>
      <c r="F3" s="354"/>
      <c r="G3" s="354"/>
    </row>
    <row r="4" spans="2:7" ht="12.75">
      <c r="B4" s="354" t="s">
        <v>271</v>
      </c>
      <c r="C4" s="354"/>
      <c r="D4" s="354"/>
      <c r="E4" s="354"/>
      <c r="F4" s="354"/>
      <c r="G4" s="354"/>
    </row>
    <row r="5" spans="2:7" ht="12.75">
      <c r="B5" s="2"/>
      <c r="C5" s="2"/>
      <c r="D5" s="2"/>
      <c r="E5" s="2"/>
      <c r="F5" s="2"/>
      <c r="G5" s="2"/>
    </row>
    <row r="6" spans="2:7" ht="12.75">
      <c r="B6" s="352" t="s">
        <v>46</v>
      </c>
      <c r="C6" s="351" t="s">
        <v>45</v>
      </c>
      <c r="D6" s="351"/>
      <c r="E6" s="351"/>
      <c r="F6" s="351" t="s">
        <v>44</v>
      </c>
      <c r="G6" s="351"/>
    </row>
    <row r="7" spans="2:7" ht="12.75">
      <c r="B7" s="353"/>
      <c r="C7" s="285">
        <v>2015</v>
      </c>
      <c r="D7" s="284">
        <f>+C7+1</f>
        <v>2016</v>
      </c>
      <c r="E7" s="284">
        <f>+D7+1</f>
        <v>2017</v>
      </c>
      <c r="F7" s="284" t="s">
        <v>43</v>
      </c>
      <c r="G7" s="284" t="s">
        <v>42</v>
      </c>
    </row>
    <row r="8" spans="2:7" ht="12.75">
      <c r="B8" s="106" t="s">
        <v>41</v>
      </c>
      <c r="C8" s="177">
        <v>212.69</v>
      </c>
      <c r="D8" s="177">
        <v>196.24</v>
      </c>
      <c r="E8" s="177">
        <v>120.48</v>
      </c>
      <c r="F8" s="177">
        <f>(E8/D19-1)*100</f>
        <v>-12.626006236855458</v>
      </c>
      <c r="G8" s="177">
        <f>(E8/D8-1)*100</f>
        <v>-38.60578883000407</v>
      </c>
    </row>
    <row r="9" spans="2:7" ht="12.75">
      <c r="B9" s="107" t="s">
        <v>40</v>
      </c>
      <c r="C9" s="178">
        <v>200.61</v>
      </c>
      <c r="D9" s="178">
        <v>180.84</v>
      </c>
      <c r="E9" s="178"/>
      <c r="F9" s="178"/>
      <c r="G9" s="178"/>
    </row>
    <row r="10" spans="2:7" ht="12.75">
      <c r="B10" s="107" t="s">
        <v>39</v>
      </c>
      <c r="C10" s="178">
        <v>210.48</v>
      </c>
      <c r="D10" s="178">
        <v>181.1</v>
      </c>
      <c r="E10" s="178"/>
      <c r="F10" s="178"/>
      <c r="G10" s="178"/>
    </row>
    <row r="11" spans="2:7" ht="12.75">
      <c r="B11" s="107" t="s">
        <v>38</v>
      </c>
      <c r="C11" s="178">
        <v>252.76</v>
      </c>
      <c r="D11" s="178">
        <v>174.37</v>
      </c>
      <c r="E11" s="179"/>
      <c r="F11" s="178"/>
      <c r="G11" s="178"/>
    </row>
    <row r="12" spans="2:7" ht="12.75">
      <c r="B12" s="107" t="s">
        <v>37</v>
      </c>
      <c r="C12" s="178">
        <v>235.08</v>
      </c>
      <c r="D12" s="178">
        <v>217.98</v>
      </c>
      <c r="E12" s="179"/>
      <c r="F12" s="178"/>
      <c r="G12" s="178"/>
    </row>
    <row r="13" spans="2:7" ht="12.75">
      <c r="B13" s="107" t="s">
        <v>36</v>
      </c>
      <c r="C13" s="178">
        <v>228.59</v>
      </c>
      <c r="D13" s="178">
        <v>243.56</v>
      </c>
      <c r="E13" s="178"/>
      <c r="F13" s="178"/>
      <c r="G13" s="178"/>
    </row>
    <row r="14" spans="2:7" ht="12.75">
      <c r="B14" s="107" t="s">
        <v>35</v>
      </c>
      <c r="C14" s="178">
        <v>268.59</v>
      </c>
      <c r="D14" s="178">
        <v>245.19</v>
      </c>
      <c r="E14" s="178"/>
      <c r="F14" s="178"/>
      <c r="G14" s="178"/>
    </row>
    <row r="15" spans="2:7" ht="12.75">
      <c r="B15" s="107" t="s">
        <v>34</v>
      </c>
      <c r="C15" s="178">
        <v>374.35</v>
      </c>
      <c r="D15" s="178">
        <v>266.75</v>
      </c>
      <c r="E15" s="178"/>
      <c r="F15" s="178"/>
      <c r="G15" s="178"/>
    </row>
    <row r="16" spans="2:7" ht="12.75">
      <c r="B16" s="107" t="s">
        <v>33</v>
      </c>
      <c r="C16" s="178">
        <v>344.46</v>
      </c>
      <c r="D16" s="178">
        <v>232.53</v>
      </c>
      <c r="E16" s="178"/>
      <c r="F16" s="178"/>
      <c r="G16" s="178"/>
    </row>
    <row r="17" spans="2:25" ht="12.75">
      <c r="B17" s="107" t="s">
        <v>32</v>
      </c>
      <c r="C17" s="178">
        <v>386.05</v>
      </c>
      <c r="D17" s="178">
        <v>231.59</v>
      </c>
      <c r="E17" s="178"/>
      <c r="F17" s="178"/>
      <c r="G17" s="178"/>
      <c r="R17" s="176"/>
      <c r="S17" s="176"/>
      <c r="T17" s="176"/>
      <c r="U17" s="176"/>
      <c r="V17" s="176"/>
      <c r="W17" s="176"/>
      <c r="X17" s="176"/>
      <c r="Y17" s="176"/>
    </row>
    <row r="18" spans="2:7" ht="12.75">
      <c r="B18" s="107" t="s">
        <v>31</v>
      </c>
      <c r="C18" s="178">
        <v>396.11</v>
      </c>
      <c r="D18" s="178">
        <v>210.93</v>
      </c>
      <c r="E18" s="178"/>
      <c r="F18" s="178"/>
      <c r="G18" s="178"/>
    </row>
    <row r="19" spans="2:19" ht="12.75">
      <c r="B19" s="2" t="s">
        <v>30</v>
      </c>
      <c r="C19" s="180">
        <v>277.5</v>
      </c>
      <c r="D19" s="180">
        <v>137.89</v>
      </c>
      <c r="E19" s="180"/>
      <c r="F19" s="178"/>
      <c r="G19" s="178"/>
      <c r="R19" s="176"/>
      <c r="S19" s="176"/>
    </row>
    <row r="20" spans="2:7" ht="12.75">
      <c r="B20" s="4" t="s">
        <v>151</v>
      </c>
      <c r="C20" s="181">
        <v>282.27</v>
      </c>
      <c r="D20" s="181">
        <v>209.91</v>
      </c>
      <c r="E20" s="182">
        <v>120.48</v>
      </c>
      <c r="F20" s="181"/>
      <c r="G20" s="181">
        <f>(E20/D20-1)*100</f>
        <v>-42.603973131342</v>
      </c>
    </row>
    <row r="21" spans="2:7" ht="12.75">
      <c r="B21" s="3" t="s">
        <v>256</v>
      </c>
      <c r="C21" s="183">
        <f>AVERAGE(C8)</f>
        <v>212.69</v>
      </c>
      <c r="D21" s="183">
        <f>AVERAGE(D8)</f>
        <v>196.24</v>
      </c>
      <c r="E21" s="183">
        <f>AVERAGE(E8:E19)</f>
        <v>120.48</v>
      </c>
      <c r="F21" s="183"/>
      <c r="G21" s="183">
        <f>(E21/D21-1)*100</f>
        <v>-38.60578883000407</v>
      </c>
    </row>
    <row r="22" spans="2:8" ht="78.75" customHeight="1">
      <c r="B22" s="350" t="s">
        <v>258</v>
      </c>
      <c r="C22" s="350"/>
      <c r="D22" s="350"/>
      <c r="E22" s="350"/>
      <c r="F22" s="350"/>
      <c r="G22" s="350"/>
      <c r="H22" s="290"/>
    </row>
    <row r="24" spans="13:14" ht="12.75">
      <c r="M24" s="184"/>
      <c r="N24" s="289"/>
    </row>
    <row r="25" spans="13:14" ht="12.75">
      <c r="M25" s="184"/>
      <c r="N25" s="289"/>
    </row>
    <row r="26" spans="13:14" ht="12.75">
      <c r="M26" s="184"/>
      <c r="N26" s="289"/>
    </row>
    <row r="27" spans="13:14" ht="12.75">
      <c r="M27" s="184"/>
      <c r="N27" s="289"/>
    </row>
    <row r="28" spans="13:14" ht="12.75">
      <c r="M28" s="184"/>
      <c r="N28" s="289"/>
    </row>
    <row r="29" spans="13:14" ht="12.75">
      <c r="M29" s="184"/>
      <c r="N29" s="289"/>
    </row>
    <row r="30" spans="13:14" ht="12.75">
      <c r="M30" s="184"/>
      <c r="N30" s="289"/>
    </row>
    <row r="31" spans="13:14" ht="12.75">
      <c r="M31" s="184"/>
      <c r="N31" s="289"/>
    </row>
    <row r="32" spans="13:14" ht="12.75">
      <c r="M32" s="184"/>
      <c r="N32" s="289"/>
    </row>
    <row r="33" spans="13:14" ht="12.75">
      <c r="M33" s="184"/>
      <c r="N33" s="289"/>
    </row>
    <row r="34" spans="13:14" ht="12.75">
      <c r="M34" s="184"/>
      <c r="N34" s="289"/>
    </row>
    <row r="35" spans="13:14" ht="12.75">
      <c r="M35" s="184"/>
      <c r="N35" s="289"/>
    </row>
    <row r="36" spans="13:14" ht="12.75">
      <c r="M36" s="184"/>
      <c r="N36" s="289"/>
    </row>
    <row r="37" spans="13:14" ht="12.75">
      <c r="M37" s="184"/>
      <c r="N37" s="289"/>
    </row>
    <row r="38" spans="13:14" ht="12.75">
      <c r="M38" s="184"/>
      <c r="N38" s="289"/>
    </row>
    <row r="39" spans="13:14" ht="12.75">
      <c r="M39" s="184"/>
      <c r="N39" s="289"/>
    </row>
    <row r="40" spans="13:14" ht="12.75">
      <c r="M40" s="184"/>
      <c r="N40" s="289"/>
    </row>
    <row r="41" spans="13:14" ht="12.75">
      <c r="M41" s="184"/>
      <c r="N41" s="289"/>
    </row>
    <row r="42" spans="13:14" ht="12.75">
      <c r="M42" s="184"/>
      <c r="N42" s="289"/>
    </row>
    <row r="43" spans="13:14" ht="12.75">
      <c r="M43" s="184"/>
      <c r="N43" s="289"/>
    </row>
    <row r="44" spans="13:14" ht="12.75">
      <c r="M44" s="184"/>
      <c r="N44" s="289"/>
    </row>
    <row r="45" spans="13:14" ht="12.75">
      <c r="M45" s="184"/>
      <c r="N45" s="289"/>
    </row>
    <row r="46" spans="13:14" ht="12.75">
      <c r="M46" s="184"/>
      <c r="N46" s="289"/>
    </row>
    <row r="47" spans="13:14" ht="12.75">
      <c r="M47" s="184"/>
      <c r="N47" s="289"/>
    </row>
    <row r="48" spans="13:14" ht="12.75">
      <c r="M48" s="184"/>
      <c r="N48" s="289"/>
    </row>
    <row r="60" ht="12.75">
      <c r="E60" s="180"/>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3"/>
  <sheetViews>
    <sheetView zoomScale="80" zoomScaleNormal="80" zoomScalePageLayoutView="60" workbookViewId="0" topLeftCell="A1">
      <selection activeCell="A1" sqref="A1"/>
    </sheetView>
  </sheetViews>
  <sheetFormatPr defaultColWidth="10.8515625" defaultRowHeight="15"/>
  <cols>
    <col min="1" max="1" width="1.421875" style="250" customWidth="1"/>
    <col min="2" max="11" width="11.00390625" style="250" customWidth="1"/>
    <col min="12" max="12" width="12.28125" style="250" customWidth="1"/>
    <col min="13" max="13" width="3.57421875" style="250" customWidth="1"/>
    <col min="14" max="14" width="14.140625" style="250" customWidth="1"/>
    <col min="15" max="15" width="10.8515625" style="171" customWidth="1"/>
    <col min="16" max="26" width="10.8515625" style="273" hidden="1" customWidth="1"/>
    <col min="27" max="27" width="10.8515625" style="171" customWidth="1"/>
    <col min="28" max="16384" width="10.8515625" style="250" customWidth="1"/>
  </cols>
  <sheetData>
    <row r="1" ht="6.75" customHeight="1"/>
    <row r="2" spans="2:15" ht="12.75">
      <c r="B2" s="357" t="s">
        <v>58</v>
      </c>
      <c r="C2" s="357"/>
      <c r="D2" s="357"/>
      <c r="E2" s="357"/>
      <c r="F2" s="357"/>
      <c r="G2" s="357"/>
      <c r="H2" s="357"/>
      <c r="I2" s="357"/>
      <c r="J2" s="357"/>
      <c r="K2" s="357"/>
      <c r="L2" s="357"/>
      <c r="M2" s="160"/>
      <c r="N2" s="48" t="s">
        <v>152</v>
      </c>
      <c r="O2" s="173"/>
    </row>
    <row r="3" spans="2:15" ht="12.75">
      <c r="B3" s="357" t="s">
        <v>141</v>
      </c>
      <c r="C3" s="357"/>
      <c r="D3" s="357"/>
      <c r="E3" s="357"/>
      <c r="F3" s="357"/>
      <c r="G3" s="357"/>
      <c r="H3" s="357"/>
      <c r="I3" s="357"/>
      <c r="J3" s="357"/>
      <c r="K3" s="357"/>
      <c r="L3" s="357"/>
      <c r="M3" s="285"/>
      <c r="N3" s="284"/>
      <c r="O3" s="270"/>
    </row>
    <row r="4" spans="2:15" ht="12.75">
      <c r="B4" s="357" t="s">
        <v>134</v>
      </c>
      <c r="C4" s="357"/>
      <c r="D4" s="357"/>
      <c r="E4" s="357"/>
      <c r="F4" s="357"/>
      <c r="G4" s="357"/>
      <c r="H4" s="357"/>
      <c r="I4" s="357"/>
      <c r="J4" s="357"/>
      <c r="K4" s="357"/>
      <c r="L4" s="357"/>
      <c r="M4" s="285"/>
      <c r="N4" s="284"/>
      <c r="O4" s="270"/>
    </row>
    <row r="5" spans="2:25" ht="25.5">
      <c r="B5" s="60" t="s">
        <v>65</v>
      </c>
      <c r="C5" s="61" t="s">
        <v>61</v>
      </c>
      <c r="D5" s="61" t="s">
        <v>124</v>
      </c>
      <c r="E5" s="61" t="s">
        <v>62</v>
      </c>
      <c r="F5" s="61" t="s">
        <v>63</v>
      </c>
      <c r="G5" s="61" t="s">
        <v>64</v>
      </c>
      <c r="H5" s="61" t="s">
        <v>130</v>
      </c>
      <c r="I5" s="61" t="s">
        <v>157</v>
      </c>
      <c r="J5" s="61" t="s">
        <v>186</v>
      </c>
      <c r="K5" s="61" t="s">
        <v>163</v>
      </c>
      <c r="L5" s="96" t="s">
        <v>70</v>
      </c>
      <c r="M5" s="260"/>
      <c r="Q5" s="312" t="str">
        <f aca="true" t="shared" si="0" ref="Q5:Y5">+C5</f>
        <v>Asterix</v>
      </c>
      <c r="R5" s="312" t="str">
        <f t="shared" si="0"/>
        <v>Cardinal</v>
      </c>
      <c r="S5" s="312" t="str">
        <f t="shared" si="0"/>
        <v>Désirée</v>
      </c>
      <c r="T5" s="312" t="str">
        <f t="shared" si="0"/>
        <v>Karu</v>
      </c>
      <c r="U5" s="312" t="str">
        <f t="shared" si="0"/>
        <v>Pukará</v>
      </c>
      <c r="V5" s="312" t="str">
        <f t="shared" si="0"/>
        <v>Rodeo</v>
      </c>
      <c r="W5" s="312" t="str">
        <f t="shared" si="0"/>
        <v>Patagonia</v>
      </c>
      <c r="X5" s="312" t="str">
        <f t="shared" si="0"/>
        <v>Yagana</v>
      </c>
      <c r="Y5" s="312" t="str">
        <f t="shared" si="0"/>
        <v>Rosara</v>
      </c>
    </row>
    <row r="6" spans="2:26" ht="12.75">
      <c r="B6" s="104">
        <v>42724</v>
      </c>
      <c r="C6" s="169">
        <v>6602.286</v>
      </c>
      <c r="D6" s="169">
        <v>8193.28</v>
      </c>
      <c r="E6" s="169"/>
      <c r="F6" s="169"/>
      <c r="G6" s="169">
        <v>5645.4275</v>
      </c>
      <c r="H6" s="169"/>
      <c r="I6" s="169">
        <v>6722.69</v>
      </c>
      <c r="J6" s="169"/>
      <c r="K6" s="169">
        <v>4901.746666666667</v>
      </c>
      <c r="L6" s="169">
        <v>6086.739285714285</v>
      </c>
      <c r="Q6" s="313">
        <f aca="true" t="shared" si="1" ref="Q6:Q35">+IF(C6="","",((C6-$L6)/$L6))</f>
        <v>0.08469998304276231</v>
      </c>
      <c r="R6" s="313">
        <f aca="true" t="shared" si="2" ref="R6:R35">+IF(D6="","",((D6-$L6)/$L6))</f>
        <v>0.34608689733595366</v>
      </c>
      <c r="S6" s="313">
        <f aca="true" t="shared" si="3" ref="S6:S35">+IF(E6="","",((E6-$L6)/$L6))</f>
      </c>
      <c r="T6" s="313">
        <f aca="true" t="shared" si="4" ref="T6:T35">+IF(F6="","",((F6-$L6)/$L6))</f>
      </c>
      <c r="U6" s="313">
        <f aca="true" t="shared" si="5" ref="U6:U35">+IF(G6="","",((G6-$L6)/$L6))</f>
        <v>-0.0725038095109567</v>
      </c>
      <c r="V6" s="313">
        <f aca="true" t="shared" si="6" ref="V6:V35">+IF(H6="","",((H6-$L6)/$L6))</f>
      </c>
      <c r="W6" s="313">
        <f aca="true" t="shared" si="7" ref="W6:W35">+IF(I6="","",((I6-$L6)/$L6))</f>
        <v>0.10448134615824689</v>
      </c>
      <c r="X6" s="313">
        <f aca="true" t="shared" si="8" ref="X6:X35">+IF(J6="","",((J6-$L6)/$L6))</f>
      </c>
      <c r="Y6" s="313">
        <f aca="true" t="shared" si="9" ref="Y6:Y35">+IF(K6="","",((K6-$L6)/$L6))</f>
        <v>-0.19468430688806115</v>
      </c>
      <c r="Z6" s="314"/>
    </row>
    <row r="7" spans="2:26" ht="12.75">
      <c r="B7" s="105">
        <v>42725</v>
      </c>
      <c r="C7" s="101">
        <v>7094.495</v>
      </c>
      <c r="D7" s="101">
        <v>8193.28</v>
      </c>
      <c r="E7" s="101"/>
      <c r="F7" s="101"/>
      <c r="G7" s="101">
        <v>6313.674</v>
      </c>
      <c r="H7" s="101"/>
      <c r="I7" s="101">
        <v>6722.69</v>
      </c>
      <c r="J7" s="101"/>
      <c r="K7" s="101">
        <v>5310.566666666667</v>
      </c>
      <c r="L7" s="101">
        <v>6485.287142857143</v>
      </c>
      <c r="Q7" s="313">
        <f t="shared" si="1"/>
        <v>0.0939369134663273</v>
      </c>
      <c r="R7" s="313">
        <f t="shared" si="2"/>
        <v>0.26336426121456014</v>
      </c>
      <c r="S7" s="313">
        <f t="shared" si="3"/>
      </c>
      <c r="T7" s="313">
        <f t="shared" si="4"/>
      </c>
      <c r="U7" s="313">
        <f t="shared" si="5"/>
        <v>-0.026461918967791136</v>
      </c>
      <c r="V7" s="313">
        <f t="shared" si="6"/>
      </c>
      <c r="W7" s="313">
        <f t="shared" si="7"/>
        <v>0.036606375618129766</v>
      </c>
      <c r="X7" s="313">
        <f t="shared" si="8"/>
      </c>
      <c r="Y7" s="313">
        <f t="shared" si="9"/>
        <v>-0.1811362319530149</v>
      </c>
      <c r="Z7" s="314"/>
    </row>
    <row r="8" spans="2:26" ht="12.75">
      <c r="B8" s="105">
        <v>42726</v>
      </c>
      <c r="C8" s="101">
        <v>9545.6525</v>
      </c>
      <c r="D8" s="101">
        <v>13340.335</v>
      </c>
      <c r="E8" s="101">
        <v>5477.75</v>
      </c>
      <c r="F8" s="101"/>
      <c r="G8" s="101">
        <v>5727.8150000000005</v>
      </c>
      <c r="H8" s="101"/>
      <c r="I8" s="101">
        <v>5873.486666666667</v>
      </c>
      <c r="J8" s="101"/>
      <c r="K8" s="101">
        <v>4515.54</v>
      </c>
      <c r="L8" s="101">
        <v>7318.786470588235</v>
      </c>
      <c r="Q8" s="313">
        <f t="shared" si="1"/>
        <v>0.3042671129101523</v>
      </c>
      <c r="R8" s="313">
        <f t="shared" si="2"/>
        <v>0.8227523174245296</v>
      </c>
      <c r="S8" s="313">
        <f t="shared" si="3"/>
        <v>-0.2515494171044267</v>
      </c>
      <c r="T8" s="313">
        <f t="shared" si="4"/>
      </c>
      <c r="U8" s="313">
        <f t="shared" si="5"/>
        <v>-0.2173818674696712</v>
      </c>
      <c r="V8" s="313">
        <f t="shared" si="6"/>
      </c>
      <c r="W8" s="313">
        <f t="shared" si="7"/>
        <v>-0.19747806685298808</v>
      </c>
      <c r="X8" s="313">
        <f t="shared" si="8"/>
      </c>
      <c r="Y8" s="313">
        <f t="shared" si="9"/>
        <v>-0.3830206663158638</v>
      </c>
      <c r="Z8" s="314"/>
    </row>
    <row r="9" spans="2:26" ht="12.75">
      <c r="B9" s="105">
        <v>42727</v>
      </c>
      <c r="C9" s="101">
        <v>6831.493333333335</v>
      </c>
      <c r="D9" s="101">
        <v>8193.28</v>
      </c>
      <c r="E9" s="101"/>
      <c r="F9" s="101"/>
      <c r="G9" s="101">
        <v>6446.735</v>
      </c>
      <c r="H9" s="101"/>
      <c r="I9" s="101">
        <v>4829.406666666667</v>
      </c>
      <c r="J9" s="101"/>
      <c r="K9" s="101">
        <v>4664.099999999999</v>
      </c>
      <c r="L9" s="101">
        <v>5925.372857142858</v>
      </c>
      <c r="Q9" s="313">
        <f t="shared" si="1"/>
        <v>0.1529221026315965</v>
      </c>
      <c r="R9" s="313">
        <f t="shared" si="2"/>
        <v>0.3827450520895489</v>
      </c>
      <c r="S9" s="313">
        <f t="shared" si="3"/>
      </c>
      <c r="T9" s="313">
        <f t="shared" si="4"/>
      </c>
      <c r="U9" s="313">
        <f t="shared" si="5"/>
        <v>0.08798807356547278</v>
      </c>
      <c r="V9" s="313">
        <f t="shared" si="6"/>
      </c>
      <c r="W9" s="313">
        <f t="shared" si="7"/>
        <v>-0.18496155717104576</v>
      </c>
      <c r="X9" s="313">
        <f t="shared" si="8"/>
      </c>
      <c r="Y9" s="313">
        <f t="shared" si="9"/>
        <v>-0.2128596609110315</v>
      </c>
      <c r="Z9" s="314"/>
    </row>
    <row r="10" spans="2:26" ht="12.75">
      <c r="B10" s="105">
        <v>42730</v>
      </c>
      <c r="C10" s="101">
        <v>10073.050000000001</v>
      </c>
      <c r="D10" s="101">
        <v>13792.825</v>
      </c>
      <c r="E10" s="101"/>
      <c r="F10" s="101"/>
      <c r="G10" s="101">
        <v>6505.1050000000005</v>
      </c>
      <c r="H10" s="101"/>
      <c r="I10" s="101">
        <v>5376.6</v>
      </c>
      <c r="J10" s="101"/>
      <c r="K10" s="101">
        <v>4795.71</v>
      </c>
      <c r="L10" s="101">
        <v>8232.770000000002</v>
      </c>
      <c r="Q10" s="313">
        <f t="shared" si="1"/>
        <v>0.22353108370572702</v>
      </c>
      <c r="R10" s="313">
        <f t="shared" si="2"/>
        <v>0.675356532491494</v>
      </c>
      <c r="S10" s="313">
        <f t="shared" si="3"/>
      </c>
      <c r="T10" s="313">
        <f t="shared" si="4"/>
      </c>
      <c r="U10" s="313">
        <f t="shared" si="5"/>
        <v>-0.20985221256029274</v>
      </c>
      <c r="V10" s="313">
        <f t="shared" si="6"/>
      </c>
      <c r="W10" s="313">
        <f t="shared" si="7"/>
        <v>-0.34692697597527944</v>
      </c>
      <c r="X10" s="313">
        <f t="shared" si="8"/>
      </c>
      <c r="Y10" s="313">
        <f t="shared" si="9"/>
        <v>-0.41748524494186057</v>
      </c>
      <c r="Z10" s="314"/>
    </row>
    <row r="11" spans="2:26" ht="12.75">
      <c r="B11" s="105">
        <v>42731</v>
      </c>
      <c r="C11" s="101">
        <v>8972.756</v>
      </c>
      <c r="D11" s="101">
        <v>13760.505000000001</v>
      </c>
      <c r="E11" s="101"/>
      <c r="F11" s="101"/>
      <c r="G11" s="101">
        <v>6123.1125</v>
      </c>
      <c r="H11" s="101"/>
      <c r="I11" s="101">
        <v>5184.26</v>
      </c>
      <c r="J11" s="101"/>
      <c r="K11" s="101">
        <v>4427.676666666666</v>
      </c>
      <c r="L11" s="101">
        <v>7533.049375</v>
      </c>
      <c r="Q11" s="313">
        <f t="shared" si="1"/>
        <v>0.19111870284269838</v>
      </c>
      <c r="R11" s="313">
        <f t="shared" si="2"/>
        <v>0.8266845622527201</v>
      </c>
      <c r="S11" s="313">
        <f t="shared" si="3"/>
      </c>
      <c r="T11" s="313">
        <f t="shared" si="4"/>
      </c>
      <c r="U11" s="313">
        <f t="shared" si="5"/>
        <v>-0.18716681715629926</v>
      </c>
      <c r="V11" s="313">
        <f t="shared" si="6"/>
      </c>
      <c r="W11" s="313">
        <f t="shared" si="7"/>
        <v>-0.31179795300359353</v>
      </c>
      <c r="X11" s="313">
        <f t="shared" si="8"/>
      </c>
      <c r="Y11" s="313">
        <f t="shared" si="9"/>
        <v>-0.4122331546955158</v>
      </c>
      <c r="Z11" s="314"/>
    </row>
    <row r="12" spans="2:26" ht="12.75">
      <c r="B12" s="105">
        <v>42732</v>
      </c>
      <c r="C12" s="101">
        <v>6885.825</v>
      </c>
      <c r="D12" s="101">
        <v>14243.7</v>
      </c>
      <c r="E12" s="101"/>
      <c r="F12" s="101"/>
      <c r="G12" s="101">
        <v>6102.28</v>
      </c>
      <c r="H12" s="101"/>
      <c r="I12" s="101">
        <v>4836.66</v>
      </c>
      <c r="J12" s="101"/>
      <c r="K12" s="101">
        <v>4602.85</v>
      </c>
      <c r="L12" s="101">
        <v>7222.264545454545</v>
      </c>
      <c r="Q12" s="313">
        <f t="shared" si="1"/>
        <v>-0.0465836640761504</v>
      </c>
      <c r="R12" s="313">
        <f t="shared" si="2"/>
        <v>0.972193058057464</v>
      </c>
      <c r="S12" s="313">
        <f t="shared" si="3"/>
      </c>
      <c r="T12" s="313">
        <f t="shared" si="4"/>
      </c>
      <c r="U12" s="313">
        <f t="shared" si="5"/>
        <v>-0.15507387446219026</v>
      </c>
      <c r="V12" s="313">
        <f t="shared" si="6"/>
      </c>
      <c r="W12" s="313">
        <f t="shared" si="7"/>
        <v>-0.3303125398467945</v>
      </c>
      <c r="X12" s="313">
        <f t="shared" si="8"/>
      </c>
      <c r="Y12" s="313">
        <f t="shared" si="9"/>
        <v>-0.36268604244123376</v>
      </c>
      <c r="Z12" s="314"/>
    </row>
    <row r="13" spans="2:26" ht="12.75">
      <c r="B13" s="105">
        <v>42733</v>
      </c>
      <c r="C13" s="101">
        <v>10635.12</v>
      </c>
      <c r="D13" s="101">
        <v>20685.2</v>
      </c>
      <c r="E13" s="101"/>
      <c r="F13" s="101"/>
      <c r="G13" s="101">
        <v>6482.4349999999995</v>
      </c>
      <c r="H13" s="101"/>
      <c r="I13" s="101">
        <v>4811.01</v>
      </c>
      <c r="J13" s="101"/>
      <c r="K13" s="101">
        <v>4346.063333333333</v>
      </c>
      <c r="L13" s="101">
        <v>7783.116153846154</v>
      </c>
      <c r="Q13" s="313">
        <f t="shared" si="1"/>
        <v>0.3664347017029269</v>
      </c>
      <c r="R13" s="313">
        <f t="shared" si="2"/>
        <v>1.6577015672287085</v>
      </c>
      <c r="S13" s="313">
        <f t="shared" si="3"/>
      </c>
      <c r="T13" s="313">
        <f t="shared" si="4"/>
      </c>
      <c r="U13" s="313">
        <f t="shared" si="5"/>
        <v>-0.16711573207132485</v>
      </c>
      <c r="V13" s="313">
        <f t="shared" si="6"/>
      </c>
      <c r="W13" s="313">
        <f t="shared" si="7"/>
        <v>-0.38186583562387655</v>
      </c>
      <c r="X13" s="313">
        <f t="shared" si="8"/>
      </c>
      <c r="Y13" s="313">
        <f t="shared" si="9"/>
        <v>-0.4416036909348122</v>
      </c>
      <c r="Z13" s="314"/>
    </row>
    <row r="14" spans="2:26" ht="12.75">
      <c r="B14" s="105">
        <v>42734</v>
      </c>
      <c r="C14" s="101">
        <v>6786.593333333333</v>
      </c>
      <c r="D14" s="101">
        <v>8613.45</v>
      </c>
      <c r="E14" s="101"/>
      <c r="F14" s="101">
        <v>6722.69</v>
      </c>
      <c r="G14" s="101">
        <v>5852.735000000001</v>
      </c>
      <c r="H14" s="101"/>
      <c r="I14" s="101">
        <v>4823.594999999999</v>
      </c>
      <c r="J14" s="101"/>
      <c r="K14" s="101">
        <v>4391.363333333334</v>
      </c>
      <c r="L14" s="101">
        <v>5852.01</v>
      </c>
      <c r="Q14" s="313">
        <f t="shared" si="1"/>
        <v>0.15970296245791327</v>
      </c>
      <c r="R14" s="313">
        <f t="shared" si="2"/>
        <v>0.4718788928932111</v>
      </c>
      <c r="S14" s="313">
        <f t="shared" si="3"/>
      </c>
      <c r="T14" s="313">
        <f t="shared" si="4"/>
        <v>0.14878306769810704</v>
      </c>
      <c r="U14" s="313">
        <f t="shared" si="5"/>
        <v>0.00012388905692238458</v>
      </c>
      <c r="V14" s="313">
        <f t="shared" si="6"/>
      </c>
      <c r="W14" s="313">
        <f t="shared" si="7"/>
        <v>-0.17573705444795906</v>
      </c>
      <c r="X14" s="313">
        <f t="shared" si="8"/>
      </c>
      <c r="Y14" s="313">
        <f t="shared" si="9"/>
        <v>-0.24959743176560983</v>
      </c>
      <c r="Z14" s="314"/>
    </row>
    <row r="15" spans="2:26" ht="12.75">
      <c r="B15" s="105">
        <v>42738</v>
      </c>
      <c r="C15" s="101">
        <v>6883.115000000001</v>
      </c>
      <c r="D15" s="101">
        <v>14180.675000000001</v>
      </c>
      <c r="E15" s="101"/>
      <c r="F15" s="101"/>
      <c r="G15" s="101">
        <v>6364.68</v>
      </c>
      <c r="H15" s="101"/>
      <c r="I15" s="101">
        <v>5872.103333333333</v>
      </c>
      <c r="J15" s="101"/>
      <c r="K15" s="101">
        <v>4643.62</v>
      </c>
      <c r="L15" s="101">
        <v>7102.334666666667</v>
      </c>
      <c r="Q15" s="313">
        <f t="shared" si="1"/>
        <v>-0.0308658598834448</v>
      </c>
      <c r="R15" s="313">
        <f t="shared" si="2"/>
        <v>0.9966216273296801</v>
      </c>
      <c r="S15" s="313">
        <f t="shared" si="3"/>
      </c>
      <c r="T15" s="313">
        <f t="shared" si="4"/>
      </c>
      <c r="U15" s="313">
        <f t="shared" si="5"/>
        <v>-0.10386087128908406</v>
      </c>
      <c r="V15" s="313">
        <f t="shared" si="6"/>
      </c>
      <c r="W15" s="313">
        <f t="shared" si="7"/>
        <v>-0.1732150611132378</v>
      </c>
      <c r="X15" s="313">
        <f t="shared" si="8"/>
      </c>
      <c r="Y15" s="313">
        <f t="shared" si="9"/>
        <v>-0.34618400597287163</v>
      </c>
      <c r="Z15" s="314"/>
    </row>
    <row r="16" spans="2:26" ht="12.75">
      <c r="B16" s="105">
        <v>42739</v>
      </c>
      <c r="C16" s="101">
        <v>9607.095000000001</v>
      </c>
      <c r="D16" s="101">
        <v>8193.28</v>
      </c>
      <c r="E16" s="101"/>
      <c r="F16" s="101"/>
      <c r="G16" s="101">
        <v>6518.085</v>
      </c>
      <c r="H16" s="101"/>
      <c r="I16" s="101">
        <v>5866.47</v>
      </c>
      <c r="J16" s="101"/>
      <c r="K16" s="101">
        <v>4698.97</v>
      </c>
      <c r="L16" s="101">
        <v>7027.242307692309</v>
      </c>
      <c r="Q16" s="313">
        <f t="shared" si="1"/>
        <v>0.3671216359628982</v>
      </c>
      <c r="R16" s="313">
        <f t="shared" si="2"/>
        <v>0.16593104965674788</v>
      </c>
      <c r="S16" s="313">
        <f t="shared" si="3"/>
      </c>
      <c r="T16" s="313">
        <f t="shared" si="4"/>
      </c>
      <c r="U16" s="313">
        <f t="shared" si="5"/>
        <v>-0.07245478174773683</v>
      </c>
      <c r="V16" s="313">
        <f t="shared" si="6"/>
      </c>
      <c r="W16" s="313">
        <f t="shared" si="7"/>
        <v>-0.16518176787808772</v>
      </c>
      <c r="X16" s="313">
        <f t="shared" si="8"/>
      </c>
      <c r="Y16" s="313">
        <f t="shared" si="9"/>
        <v>-0.33132090879286824</v>
      </c>
      <c r="Z16" s="314"/>
    </row>
    <row r="17" spans="2:26" ht="12.75">
      <c r="B17" s="105">
        <v>42740</v>
      </c>
      <c r="C17" s="101">
        <v>10253.626666666667</v>
      </c>
      <c r="D17" s="101">
        <v>13984.595000000001</v>
      </c>
      <c r="E17" s="101"/>
      <c r="F17" s="101"/>
      <c r="G17" s="101">
        <v>6076.6033333333335</v>
      </c>
      <c r="H17" s="101"/>
      <c r="I17" s="101">
        <v>6144.68</v>
      </c>
      <c r="J17" s="101"/>
      <c r="K17" s="101">
        <v>4400.5</v>
      </c>
      <c r="L17" s="101">
        <v>7756.815714285716</v>
      </c>
      <c r="Q17" s="313">
        <f t="shared" si="1"/>
        <v>0.3218860734028498</v>
      </c>
      <c r="R17" s="313">
        <f t="shared" si="2"/>
        <v>0.8028783350163383</v>
      </c>
      <c r="S17" s="313">
        <f t="shared" si="3"/>
      </c>
      <c r="T17" s="313">
        <f t="shared" si="4"/>
      </c>
      <c r="U17" s="313">
        <f t="shared" si="5"/>
        <v>-0.2166110995595703</v>
      </c>
      <c r="V17" s="313">
        <f t="shared" si="6"/>
      </c>
      <c r="W17" s="313">
        <f t="shared" si="7"/>
        <v>-0.20783473188832474</v>
      </c>
      <c r="X17" s="313">
        <f t="shared" si="8"/>
      </c>
      <c r="Y17" s="313">
        <f t="shared" si="9"/>
        <v>-0.43269246529918126</v>
      </c>
      <c r="Z17" s="314"/>
    </row>
    <row r="18" spans="2:26" ht="12.75">
      <c r="B18" s="105">
        <v>42741</v>
      </c>
      <c r="C18" s="101">
        <v>6735.15</v>
      </c>
      <c r="D18" s="101">
        <v>8193.28</v>
      </c>
      <c r="E18" s="101"/>
      <c r="F18" s="101"/>
      <c r="G18" s="101">
        <v>6201.37</v>
      </c>
      <c r="H18" s="101"/>
      <c r="I18" s="101">
        <v>6302.525</v>
      </c>
      <c r="J18" s="101"/>
      <c r="K18" s="101">
        <v>4160.516666666666</v>
      </c>
      <c r="L18" s="101">
        <v>6063.4299999999985</v>
      </c>
      <c r="Q18" s="313">
        <f t="shared" si="1"/>
        <v>0.11078218104274336</v>
      </c>
      <c r="R18" s="313">
        <f t="shared" si="2"/>
        <v>0.35126157966695465</v>
      </c>
      <c r="S18" s="313">
        <f t="shared" si="3"/>
      </c>
      <c r="T18" s="313">
        <f t="shared" si="4"/>
      </c>
      <c r="U18" s="313">
        <f t="shared" si="5"/>
        <v>0.022749499870535563</v>
      </c>
      <c r="V18" s="313">
        <f t="shared" si="6"/>
      </c>
      <c r="W18" s="313">
        <f t="shared" si="7"/>
        <v>0.03943230151910737</v>
      </c>
      <c r="X18" s="313">
        <f t="shared" si="8"/>
      </c>
      <c r="Y18" s="313">
        <f t="shared" si="9"/>
        <v>-0.31383446882924887</v>
      </c>
      <c r="Z18" s="314"/>
    </row>
    <row r="19" spans="2:26" ht="12.75">
      <c r="B19" s="105">
        <v>42744</v>
      </c>
      <c r="C19" s="101">
        <v>6977.115</v>
      </c>
      <c r="D19" s="101">
        <v>8193.28</v>
      </c>
      <c r="E19" s="101"/>
      <c r="F19" s="101"/>
      <c r="G19" s="101">
        <v>6645.845</v>
      </c>
      <c r="H19" s="101"/>
      <c r="I19" s="101">
        <v>5252.1</v>
      </c>
      <c r="J19" s="101"/>
      <c r="K19" s="101">
        <v>4442.400000000001</v>
      </c>
      <c r="L19" s="101">
        <v>6119.108181818182</v>
      </c>
      <c r="Q19" s="313">
        <f t="shared" si="1"/>
        <v>0.14021762529566467</v>
      </c>
      <c r="R19" s="313">
        <f t="shared" si="2"/>
        <v>0.33896635858552776</v>
      </c>
      <c r="S19" s="313">
        <f t="shared" si="3"/>
      </c>
      <c r="T19" s="313">
        <f t="shared" si="4"/>
      </c>
      <c r="U19" s="313">
        <f t="shared" si="5"/>
        <v>0.08608065138428522</v>
      </c>
      <c r="V19" s="313">
        <f t="shared" si="6"/>
      </c>
      <c r="W19" s="313">
        <f t="shared" si="7"/>
        <v>-0.14168865070801312</v>
      </c>
      <c r="X19" s="313">
        <f t="shared" si="8"/>
      </c>
      <c r="Y19" s="313">
        <f t="shared" si="9"/>
        <v>-0.2740118546686615</v>
      </c>
      <c r="Z19" s="314"/>
    </row>
    <row r="20" spans="2:26" ht="12.75">
      <c r="B20" s="105">
        <v>42745</v>
      </c>
      <c r="C20" s="101">
        <v>6403.962000000001</v>
      </c>
      <c r="D20" s="101">
        <v>8193.28</v>
      </c>
      <c r="E20" s="101"/>
      <c r="F20" s="101"/>
      <c r="G20" s="101">
        <v>6155.206</v>
      </c>
      <c r="H20" s="101"/>
      <c r="I20" s="101">
        <v>7076.055</v>
      </c>
      <c r="J20" s="101"/>
      <c r="K20" s="101">
        <v>5415.245000000001</v>
      </c>
      <c r="L20" s="101">
        <v>6282.48294117647</v>
      </c>
      <c r="Q20" s="313">
        <f t="shared" si="1"/>
        <v>0.0193361541863228</v>
      </c>
      <c r="R20" s="313">
        <f t="shared" si="2"/>
        <v>0.3041467962132995</v>
      </c>
      <c r="S20" s="313">
        <f t="shared" si="3"/>
      </c>
      <c r="T20" s="313">
        <f t="shared" si="4"/>
      </c>
      <c r="U20" s="313">
        <f t="shared" si="5"/>
        <v>-0.020259018984719455</v>
      </c>
      <c r="V20" s="313">
        <f t="shared" si="6"/>
      </c>
      <c r="W20" s="313">
        <f t="shared" si="7"/>
        <v>0.1263150359903602</v>
      </c>
      <c r="X20" s="313">
        <f t="shared" si="8"/>
      </c>
      <c r="Y20" s="313">
        <f t="shared" si="9"/>
        <v>-0.13804063605050854</v>
      </c>
      <c r="Z20" s="314"/>
    </row>
    <row r="21" spans="2:26" ht="12.75">
      <c r="B21" s="105">
        <v>42746</v>
      </c>
      <c r="C21" s="101">
        <v>5887.963333333333</v>
      </c>
      <c r="D21" s="101">
        <v>8193.28</v>
      </c>
      <c r="E21" s="101"/>
      <c r="F21" s="101"/>
      <c r="G21" s="101">
        <v>5285.786666666666</v>
      </c>
      <c r="H21" s="101"/>
      <c r="I21" s="101">
        <v>4541.365</v>
      </c>
      <c r="J21" s="101"/>
      <c r="K21" s="101">
        <v>4139.1466666666665</v>
      </c>
      <c r="L21" s="101">
        <v>5267.891666666667</v>
      </c>
      <c r="Q21" s="313">
        <f t="shared" si="1"/>
        <v>0.1177077483559993</v>
      </c>
      <c r="R21" s="313">
        <f t="shared" si="2"/>
        <v>0.5553243153886674</v>
      </c>
      <c r="S21" s="313">
        <f t="shared" si="3"/>
      </c>
      <c r="T21" s="313">
        <f t="shared" si="4"/>
      </c>
      <c r="U21" s="313">
        <f t="shared" si="5"/>
        <v>0.003396994686362245</v>
      </c>
      <c r="V21" s="313">
        <f t="shared" si="6"/>
      </c>
      <c r="W21" s="313">
        <f t="shared" si="7"/>
        <v>-0.13791602269725253</v>
      </c>
      <c r="X21" s="313">
        <f t="shared" si="8"/>
      </c>
      <c r="Y21" s="313">
        <f t="shared" si="9"/>
        <v>-0.21426883304041636</v>
      </c>
      <c r="Z21" s="314"/>
    </row>
    <row r="22" spans="2:26" ht="12.75">
      <c r="B22" s="105">
        <v>42747</v>
      </c>
      <c r="C22" s="101">
        <v>8636.19</v>
      </c>
      <c r="D22" s="101">
        <v>11302.52</v>
      </c>
      <c r="E22" s="101"/>
      <c r="F22" s="101"/>
      <c r="G22" s="101">
        <v>6126.0375</v>
      </c>
      <c r="H22" s="101"/>
      <c r="I22" s="101">
        <v>6486.043333333334</v>
      </c>
      <c r="J22" s="101"/>
      <c r="K22" s="101">
        <v>4205.443333333334</v>
      </c>
      <c r="L22" s="101">
        <v>7006.147999999999</v>
      </c>
      <c r="Q22" s="313">
        <f t="shared" si="1"/>
        <v>0.2326588019550831</v>
      </c>
      <c r="R22" s="313">
        <f t="shared" si="2"/>
        <v>0.6132288384430362</v>
      </c>
      <c r="S22" s="313">
        <f t="shared" si="3"/>
      </c>
      <c r="T22" s="313">
        <f t="shared" si="4"/>
      </c>
      <c r="U22" s="313">
        <f t="shared" si="5"/>
        <v>-0.12561974140426366</v>
      </c>
      <c r="V22" s="313">
        <f t="shared" si="6"/>
      </c>
      <c r="W22" s="313">
        <f t="shared" si="7"/>
        <v>-0.07423546671675581</v>
      </c>
      <c r="X22" s="313">
        <f t="shared" si="8"/>
      </c>
      <c r="Y22" s="313">
        <f t="shared" si="9"/>
        <v>-0.39974957232799907</v>
      </c>
      <c r="Z22" s="314"/>
    </row>
    <row r="23" spans="2:26" ht="12.75">
      <c r="B23" s="105">
        <v>42748</v>
      </c>
      <c r="C23" s="101">
        <v>6186.0599999999995</v>
      </c>
      <c r="D23" s="101">
        <v>7773.11</v>
      </c>
      <c r="E23" s="101"/>
      <c r="F23" s="101"/>
      <c r="G23" s="101">
        <v>6503.7474999999995</v>
      </c>
      <c r="H23" s="101">
        <v>7175.18</v>
      </c>
      <c r="I23" s="101">
        <v>6118.297500000001</v>
      </c>
      <c r="J23" s="101"/>
      <c r="K23" s="101">
        <v>4175.69</v>
      </c>
      <c r="L23" s="101">
        <v>6022.377333333333</v>
      </c>
      <c r="Q23" s="313">
        <f t="shared" si="1"/>
        <v>0.027179078561002365</v>
      </c>
      <c r="R23" s="313">
        <f t="shared" si="2"/>
        <v>0.290704578900514</v>
      </c>
      <c r="S23" s="313">
        <f t="shared" si="3"/>
      </c>
      <c r="T23" s="313">
        <f t="shared" si="4"/>
      </c>
      <c r="U23" s="313">
        <f t="shared" si="5"/>
        <v>0.07993025677788815</v>
      </c>
      <c r="V23" s="313">
        <f t="shared" si="6"/>
        <v>0.19141986675029565</v>
      </c>
      <c r="W23" s="313">
        <f t="shared" si="7"/>
        <v>0.015927292721390592</v>
      </c>
      <c r="X23" s="313">
        <f t="shared" si="8"/>
      </c>
      <c r="Y23" s="313">
        <f t="shared" si="9"/>
        <v>-0.30663760025664283</v>
      </c>
      <c r="Z23" s="314"/>
    </row>
    <row r="24" spans="2:26" ht="12.75">
      <c r="B24" s="105">
        <v>42751</v>
      </c>
      <c r="C24" s="101">
        <v>7015.585000000001</v>
      </c>
      <c r="D24" s="101">
        <v>10871.85</v>
      </c>
      <c r="E24" s="101"/>
      <c r="F24" s="101"/>
      <c r="G24" s="101">
        <v>6060.39</v>
      </c>
      <c r="H24" s="101"/>
      <c r="I24" s="101">
        <v>6111.535</v>
      </c>
      <c r="J24" s="101"/>
      <c r="K24" s="101">
        <v>4703.316666666667</v>
      </c>
      <c r="L24" s="101">
        <v>6690.755</v>
      </c>
      <c r="Q24" s="313">
        <f t="shared" si="1"/>
        <v>0.04854908003655803</v>
      </c>
      <c r="R24" s="313">
        <f t="shared" si="2"/>
        <v>0.6249063072852018</v>
      </c>
      <c r="S24" s="313">
        <f t="shared" si="3"/>
      </c>
      <c r="T24" s="313">
        <f t="shared" si="4"/>
      </c>
      <c r="U24" s="313">
        <f t="shared" si="5"/>
        <v>-0.09421433007186779</v>
      </c>
      <c r="V24" s="313">
        <f t="shared" si="6"/>
      </c>
      <c r="W24" s="313">
        <f t="shared" si="7"/>
        <v>-0.08657020022404052</v>
      </c>
      <c r="X24" s="313">
        <f t="shared" si="8"/>
      </c>
      <c r="Y24" s="313">
        <f t="shared" si="9"/>
        <v>-0.29704246132661166</v>
      </c>
      <c r="Z24" s="314"/>
    </row>
    <row r="25" spans="2:26" ht="12.75">
      <c r="B25" s="105">
        <v>42752</v>
      </c>
      <c r="C25" s="101">
        <v>6142.422500000001</v>
      </c>
      <c r="D25" s="101">
        <v>8193.28</v>
      </c>
      <c r="E25" s="101"/>
      <c r="F25" s="101"/>
      <c r="G25" s="101">
        <v>4931.656</v>
      </c>
      <c r="H25" s="101"/>
      <c r="I25" s="101">
        <v>6360.473333333332</v>
      </c>
      <c r="J25" s="101"/>
      <c r="K25" s="101">
        <v>4342.656666666667</v>
      </c>
      <c r="L25" s="101">
        <v>5595.665</v>
      </c>
      <c r="Q25" s="313">
        <f t="shared" si="1"/>
        <v>0.0977109065678522</v>
      </c>
      <c r="R25" s="313">
        <f t="shared" si="2"/>
        <v>0.46421917680919084</v>
      </c>
      <c r="S25" s="313">
        <f t="shared" si="3"/>
      </c>
      <c r="T25" s="313">
        <f t="shared" si="4"/>
      </c>
      <c r="U25" s="313">
        <f t="shared" si="5"/>
        <v>-0.11866489505715586</v>
      </c>
      <c r="V25" s="313">
        <f t="shared" si="6"/>
      </c>
      <c r="W25" s="313">
        <f t="shared" si="7"/>
        <v>0.13667872064059097</v>
      </c>
      <c r="X25" s="313">
        <f t="shared" si="8"/>
      </c>
      <c r="Y25" s="313">
        <f t="shared" si="9"/>
        <v>-0.22392482990553103</v>
      </c>
      <c r="Z25" s="314"/>
    </row>
    <row r="26" spans="2:26" ht="12.75">
      <c r="B26" s="105">
        <v>42753</v>
      </c>
      <c r="C26" s="101">
        <v>6387.07</v>
      </c>
      <c r="D26" s="101">
        <v>10939.375</v>
      </c>
      <c r="E26" s="101"/>
      <c r="F26" s="101"/>
      <c r="G26" s="101">
        <v>5174.926666666667</v>
      </c>
      <c r="H26" s="101"/>
      <c r="I26" s="101">
        <v>5614.010000000001</v>
      </c>
      <c r="J26" s="101"/>
      <c r="K26" s="101">
        <v>4618</v>
      </c>
      <c r="L26" s="101">
        <v>6221.053846153846</v>
      </c>
      <c r="Q26" s="313">
        <f t="shared" si="1"/>
        <v>0.026686178572267554</v>
      </c>
      <c r="R26" s="313">
        <f t="shared" si="2"/>
        <v>0.7584440306304768</v>
      </c>
      <c r="S26" s="313">
        <f t="shared" si="3"/>
      </c>
      <c r="T26" s="313">
        <f t="shared" si="4"/>
      </c>
      <c r="U26" s="313">
        <f t="shared" si="5"/>
        <v>-0.16815915845736412</v>
      </c>
      <c r="V26" s="313">
        <f t="shared" si="6"/>
      </c>
      <c r="W26" s="313">
        <f t="shared" si="7"/>
        <v>-0.09757894099070509</v>
      </c>
      <c r="X26" s="313">
        <f t="shared" si="8"/>
      </c>
      <c r="Y26" s="313">
        <f t="shared" si="9"/>
        <v>-0.25768204002042694</v>
      </c>
      <c r="Z26" s="314"/>
    </row>
    <row r="27" spans="2:26" ht="12.75">
      <c r="B27" s="105">
        <v>42754</v>
      </c>
      <c r="C27" s="101">
        <v>8743.183333333334</v>
      </c>
      <c r="D27" s="101">
        <v>10819.33</v>
      </c>
      <c r="E27" s="101"/>
      <c r="F27" s="101"/>
      <c r="G27" s="101">
        <v>5647.215</v>
      </c>
      <c r="H27" s="101">
        <v>5042.02</v>
      </c>
      <c r="I27" s="101">
        <v>6045.31</v>
      </c>
      <c r="J27" s="101"/>
      <c r="K27" s="101">
        <v>4314.016666666666</v>
      </c>
      <c r="L27" s="101">
        <v>6805.902857142859</v>
      </c>
      <c r="Q27" s="313">
        <f t="shared" si="1"/>
        <v>0.28464709486079154</v>
      </c>
      <c r="R27" s="313">
        <f t="shared" si="2"/>
        <v>0.5896979764624486</v>
      </c>
      <c r="S27" s="313">
        <f t="shared" si="3"/>
      </c>
      <c r="T27" s="313">
        <f t="shared" si="4"/>
      </c>
      <c r="U27" s="313">
        <f t="shared" si="5"/>
        <v>-0.17024748684545285</v>
      </c>
      <c r="V27" s="313">
        <f t="shared" si="6"/>
        <v>-0.2591695612128297</v>
      </c>
      <c r="W27" s="313">
        <f t="shared" si="7"/>
        <v>-0.11175488000752305</v>
      </c>
      <c r="X27" s="313">
        <f t="shared" si="8"/>
      </c>
      <c r="Y27" s="313">
        <f t="shared" si="9"/>
        <v>-0.36613602086032343</v>
      </c>
      <c r="Z27" s="314"/>
    </row>
    <row r="28" spans="2:26" ht="12.75">
      <c r="B28" s="105">
        <v>42755</v>
      </c>
      <c r="C28" s="101">
        <v>5800.97</v>
      </c>
      <c r="D28" s="101">
        <v>8193.28</v>
      </c>
      <c r="E28" s="101"/>
      <c r="F28" s="101"/>
      <c r="G28" s="101">
        <v>4944.9625</v>
      </c>
      <c r="H28" s="101">
        <v>5042.02</v>
      </c>
      <c r="I28" s="101">
        <v>5778.63</v>
      </c>
      <c r="J28" s="101"/>
      <c r="K28" s="101">
        <v>4341.080000000001</v>
      </c>
      <c r="L28" s="101">
        <v>5357.04</v>
      </c>
      <c r="Q28" s="313">
        <f t="shared" si="1"/>
        <v>0.08286852440900204</v>
      </c>
      <c r="R28" s="313">
        <f t="shared" si="2"/>
        <v>0.5294416319460001</v>
      </c>
      <c r="S28" s="313">
        <f t="shared" si="3"/>
      </c>
      <c r="T28" s="313">
        <f t="shared" si="4"/>
      </c>
      <c r="U28" s="313">
        <f t="shared" si="5"/>
        <v>-0.07692261024745015</v>
      </c>
      <c r="V28" s="313">
        <f t="shared" si="6"/>
        <v>-0.05880486238669107</v>
      </c>
      <c r="W28" s="313">
        <f t="shared" si="7"/>
        <v>0.07869831100757137</v>
      </c>
      <c r="X28" s="313">
        <f t="shared" si="8"/>
      </c>
      <c r="Y28" s="313">
        <f t="shared" si="9"/>
        <v>-0.1896495079372189</v>
      </c>
      <c r="Z28" s="314"/>
    </row>
    <row r="29" spans="2:26" ht="12.75">
      <c r="B29" s="105">
        <v>42758</v>
      </c>
      <c r="C29" s="101">
        <v>6392.085000000001</v>
      </c>
      <c r="D29" s="101">
        <v>11449.58</v>
      </c>
      <c r="E29" s="101"/>
      <c r="F29" s="101">
        <v>5662.465</v>
      </c>
      <c r="G29" s="101">
        <v>4111.185</v>
      </c>
      <c r="H29" s="101">
        <v>5042.02</v>
      </c>
      <c r="I29" s="101">
        <v>5750.656666666667</v>
      </c>
      <c r="J29" s="101"/>
      <c r="K29" s="101">
        <v>4752.1849999999995</v>
      </c>
      <c r="L29" s="101">
        <v>6216.356428571429</v>
      </c>
      <c r="Q29" s="313">
        <f t="shared" si="1"/>
        <v>0.02826874125506919</v>
      </c>
      <c r="R29" s="313">
        <f t="shared" si="2"/>
        <v>0.8418474119945547</v>
      </c>
      <c r="S29" s="313">
        <f t="shared" si="3"/>
      </c>
      <c r="T29" s="313">
        <f t="shared" si="4"/>
        <v>-0.08910226351012468</v>
      </c>
      <c r="U29" s="313">
        <f t="shared" si="5"/>
        <v>-0.3386503738581822</v>
      </c>
      <c r="V29" s="313">
        <f t="shared" si="6"/>
        <v>-0.188910729631586</v>
      </c>
      <c r="W29" s="313">
        <f t="shared" si="7"/>
        <v>-0.0749152284390141</v>
      </c>
      <c r="X29" s="313">
        <f t="shared" si="8"/>
      </c>
      <c r="Y29" s="313">
        <f t="shared" si="9"/>
        <v>-0.2355353084070034</v>
      </c>
      <c r="Z29" s="314"/>
    </row>
    <row r="30" spans="2:26" ht="12.75">
      <c r="B30" s="105">
        <v>42759</v>
      </c>
      <c r="C30" s="101">
        <v>6154.446666666667</v>
      </c>
      <c r="D30" s="101">
        <v>11449.58</v>
      </c>
      <c r="E30" s="101"/>
      <c r="F30" s="101">
        <v>4536.76</v>
      </c>
      <c r="G30" s="101">
        <v>4100.84</v>
      </c>
      <c r="H30" s="101">
        <v>5042.02</v>
      </c>
      <c r="I30" s="101">
        <v>6006.570000000001</v>
      </c>
      <c r="J30" s="101"/>
      <c r="K30" s="101">
        <v>4788.4349999999995</v>
      </c>
      <c r="L30" s="101">
        <v>6080.179375</v>
      </c>
      <c r="Q30" s="313">
        <f t="shared" si="1"/>
        <v>0.012214654714305532</v>
      </c>
      <c r="R30" s="313">
        <f t="shared" si="2"/>
        <v>0.8830990491954032</v>
      </c>
      <c r="S30" s="313">
        <f t="shared" si="3"/>
      </c>
      <c r="T30" s="313">
        <f t="shared" si="4"/>
        <v>-0.25384438185263236</v>
      </c>
      <c r="U30" s="313">
        <f t="shared" si="5"/>
        <v>-0.32553963508683487</v>
      </c>
      <c r="V30" s="313">
        <f t="shared" si="6"/>
        <v>-0.17074485980933735</v>
      </c>
      <c r="W30" s="313">
        <f t="shared" si="7"/>
        <v>-0.012106447928602286</v>
      </c>
      <c r="X30" s="313">
        <f t="shared" si="8"/>
      </c>
      <c r="Y30" s="313">
        <f t="shared" si="9"/>
        <v>-0.21245168856552038</v>
      </c>
      <c r="Z30" s="314"/>
    </row>
    <row r="31" spans="2:26" ht="12.75">
      <c r="B31" s="105">
        <v>42760</v>
      </c>
      <c r="C31" s="101">
        <v>5967.486666666667</v>
      </c>
      <c r="D31" s="101">
        <v>9926.470000000001</v>
      </c>
      <c r="E31" s="101"/>
      <c r="F31" s="101"/>
      <c r="G31" s="101">
        <v>4136.4800000000005</v>
      </c>
      <c r="H31" s="101">
        <v>5042.02</v>
      </c>
      <c r="I31" s="101">
        <v>5991.87</v>
      </c>
      <c r="J31" s="101"/>
      <c r="K31" s="101">
        <v>4331.525</v>
      </c>
      <c r="L31" s="101">
        <v>5978.636428571428</v>
      </c>
      <c r="Q31" s="313">
        <f t="shared" si="1"/>
        <v>-0.0018649339256485871</v>
      </c>
      <c r="R31" s="313">
        <f t="shared" si="2"/>
        <v>0.6603234062807684</v>
      </c>
      <c r="S31" s="313">
        <f t="shared" si="3"/>
      </c>
      <c r="T31" s="313">
        <f t="shared" si="4"/>
      </c>
      <c r="U31" s="313">
        <f t="shared" si="5"/>
        <v>-0.308123173332285</v>
      </c>
      <c r="V31" s="313">
        <f t="shared" si="6"/>
        <v>-0.15666054287820752</v>
      </c>
      <c r="W31" s="313">
        <f t="shared" si="7"/>
        <v>0.002213476532095122</v>
      </c>
      <c r="X31" s="313">
        <f t="shared" si="8"/>
      </c>
      <c r="Y31" s="313">
        <f t="shared" si="9"/>
        <v>-0.2754995136850961</v>
      </c>
      <c r="Z31" s="314"/>
    </row>
    <row r="32" spans="2:26" ht="12.75">
      <c r="B32" s="105">
        <v>42761</v>
      </c>
      <c r="C32" s="101">
        <v>8193.28</v>
      </c>
      <c r="D32" s="101">
        <v>8193.28</v>
      </c>
      <c r="E32" s="101"/>
      <c r="F32" s="101">
        <v>6293.645</v>
      </c>
      <c r="G32" s="101">
        <v>4911.3375</v>
      </c>
      <c r="H32" s="101">
        <v>6340.456666666666</v>
      </c>
      <c r="I32" s="101">
        <v>6431.9475</v>
      </c>
      <c r="J32" s="101"/>
      <c r="K32" s="101">
        <v>5254.865</v>
      </c>
      <c r="L32" s="101">
        <v>6110.475882352941</v>
      </c>
      <c r="Q32" s="313">
        <f t="shared" si="1"/>
        <v>0.34085792297490275</v>
      </c>
      <c r="R32" s="313">
        <f t="shared" si="2"/>
        <v>0.34085792297490275</v>
      </c>
      <c r="S32" s="313">
        <f t="shared" si="3"/>
      </c>
      <c r="T32" s="313">
        <f t="shared" si="4"/>
        <v>0.02997624426864232</v>
      </c>
      <c r="U32" s="313">
        <f t="shared" si="5"/>
        <v>-0.1962430431672358</v>
      </c>
      <c r="V32" s="313">
        <f t="shared" si="6"/>
        <v>0.03763713150033204</v>
      </c>
      <c r="W32" s="313">
        <f t="shared" si="7"/>
        <v>0.052609915141874554</v>
      </c>
      <c r="X32" s="313">
        <f t="shared" si="8"/>
      </c>
      <c r="Y32" s="313">
        <f t="shared" si="9"/>
        <v>-0.14002360844332043</v>
      </c>
      <c r="Z32" s="314"/>
    </row>
    <row r="33" spans="2:26" ht="12.75">
      <c r="B33" s="105">
        <v>42762</v>
      </c>
      <c r="C33" s="101">
        <v>7504.7</v>
      </c>
      <c r="D33" s="101">
        <v>8319.33</v>
      </c>
      <c r="E33" s="101">
        <v>6932.77</v>
      </c>
      <c r="F33" s="101"/>
      <c r="G33" s="101">
        <v>5560.343333333333</v>
      </c>
      <c r="H33" s="101">
        <v>5042.02</v>
      </c>
      <c r="I33" s="101">
        <v>5625.740000000001</v>
      </c>
      <c r="J33" s="101"/>
      <c r="K33" s="101">
        <v>4717.415</v>
      </c>
      <c r="L33" s="101">
        <v>6220.400000000001</v>
      </c>
      <c r="Q33" s="313">
        <f t="shared" si="1"/>
        <v>0.20646582213362472</v>
      </c>
      <c r="R33" s="313">
        <f t="shared" si="2"/>
        <v>0.33742685357854785</v>
      </c>
      <c r="S33" s="313">
        <f t="shared" si="3"/>
        <v>0.11452157417529417</v>
      </c>
      <c r="T33" s="313">
        <f t="shared" si="4"/>
      </c>
      <c r="U33" s="313">
        <f t="shared" si="5"/>
        <v>-0.10611161125758267</v>
      </c>
      <c r="V33" s="313">
        <f t="shared" si="6"/>
        <v>-0.18943797826506334</v>
      </c>
      <c r="W33" s="313">
        <f t="shared" si="7"/>
        <v>-0.09559835380361388</v>
      </c>
      <c r="X33" s="313">
        <f t="shared" si="8"/>
      </c>
      <c r="Y33" s="313">
        <f t="shared" si="9"/>
        <v>-0.24162192141984445</v>
      </c>
      <c r="Z33" s="314"/>
    </row>
    <row r="34" spans="2:26" ht="14.25" customHeight="1">
      <c r="B34" s="105">
        <v>42765</v>
      </c>
      <c r="C34" s="101">
        <v>8193.28</v>
      </c>
      <c r="D34" s="101">
        <v>8193.28</v>
      </c>
      <c r="E34" s="101">
        <v>6302.52</v>
      </c>
      <c r="F34" s="101">
        <v>6067.72</v>
      </c>
      <c r="G34" s="101">
        <v>6342.39</v>
      </c>
      <c r="H34" s="101">
        <v>6519.385</v>
      </c>
      <c r="I34" s="101">
        <v>6682.675</v>
      </c>
      <c r="J34" s="101"/>
      <c r="K34" s="101">
        <v>5019.9</v>
      </c>
      <c r="L34" s="101">
        <v>6599.175454545455</v>
      </c>
      <c r="Q34" s="313">
        <f t="shared" si="1"/>
        <v>0.24156117024537363</v>
      </c>
      <c r="R34" s="313">
        <f t="shared" si="2"/>
        <v>0.24156117024537363</v>
      </c>
      <c r="S34" s="313">
        <f t="shared" si="3"/>
        <v>-0.044953412223813646</v>
      </c>
      <c r="T34" s="313">
        <f t="shared" si="4"/>
        <v>-0.0805336148744754</v>
      </c>
      <c r="U34" s="313">
        <f t="shared" si="5"/>
        <v>-0.03891174834101178</v>
      </c>
      <c r="V34" s="313">
        <f t="shared" si="6"/>
        <v>-0.012090973348874347</v>
      </c>
      <c r="W34" s="313">
        <f t="shared" si="7"/>
        <v>0.012653027037950832</v>
      </c>
      <c r="X34" s="313">
        <f t="shared" si="8"/>
      </c>
      <c r="Y34" s="313">
        <f t="shared" si="9"/>
        <v>-0.23931405755512442</v>
      </c>
      <c r="Z34" s="314"/>
    </row>
    <row r="35" spans="2:26" ht="12.75">
      <c r="B35" s="98">
        <v>42766</v>
      </c>
      <c r="C35" s="170">
        <v>6722.6900000000005</v>
      </c>
      <c r="D35" s="170">
        <v>11426.240000000002</v>
      </c>
      <c r="E35" s="170"/>
      <c r="F35" s="170"/>
      <c r="G35" s="170">
        <v>5080.9349999999995</v>
      </c>
      <c r="H35" s="170">
        <v>4720.41</v>
      </c>
      <c r="I35" s="170">
        <v>6263.1675</v>
      </c>
      <c r="J35" s="170"/>
      <c r="K35" s="170">
        <v>5737.370000000001</v>
      </c>
      <c r="L35" s="170">
        <v>6746.734615384615</v>
      </c>
      <c r="M35" s="260"/>
      <c r="Q35" s="313">
        <f t="shared" si="1"/>
        <v>-0.0035638893116953386</v>
      </c>
      <c r="R35" s="313">
        <f t="shared" si="2"/>
        <v>0.6935955912575376</v>
      </c>
      <c r="S35" s="313">
        <f t="shared" si="3"/>
      </c>
      <c r="T35" s="313">
        <f t="shared" si="4"/>
      </c>
      <c r="U35" s="313">
        <f t="shared" si="5"/>
        <v>-0.24690457092918455</v>
      </c>
      <c r="V35" s="313">
        <f t="shared" si="6"/>
        <v>-0.30034153274148</v>
      </c>
      <c r="W35" s="313">
        <f t="shared" si="7"/>
        <v>-0.07167424583174421</v>
      </c>
      <c r="X35" s="313">
        <f t="shared" si="8"/>
      </c>
      <c r="Y35" s="313">
        <f t="shared" si="9"/>
        <v>-0.14960787298242834</v>
      </c>
      <c r="Z35" s="314"/>
    </row>
    <row r="36" spans="2:15" ht="70.5" customHeight="1">
      <c r="B36" s="355" t="s">
        <v>257</v>
      </c>
      <c r="C36" s="355"/>
      <c r="D36" s="355"/>
      <c r="E36" s="355"/>
      <c r="F36" s="355"/>
      <c r="G36" s="355"/>
      <c r="H36" s="355"/>
      <c r="I36" s="355"/>
      <c r="J36" s="355"/>
      <c r="K36" s="355"/>
      <c r="L36" s="355"/>
      <c r="M36" s="356"/>
      <c r="N36" s="291"/>
      <c r="O36" s="292"/>
    </row>
    <row r="37" spans="16:26" ht="12.75">
      <c r="P37" s="315" t="s">
        <v>223</v>
      </c>
      <c r="Q37" s="316">
        <f>+AVERAGE(C15:C35)</f>
        <v>7180.356007936509</v>
      </c>
      <c r="R37" s="316">
        <f aca="true" t="shared" si="10" ref="R37:Y37">+AVERAGE(D15:D35)</f>
        <v>9818.198809523808</v>
      </c>
      <c r="S37" s="316">
        <f t="shared" si="10"/>
        <v>6617.645</v>
      </c>
      <c r="T37" s="316">
        <f t="shared" si="10"/>
        <v>5640.147500000001</v>
      </c>
      <c r="U37" s="316">
        <f t="shared" si="10"/>
        <v>5565.715333333332</v>
      </c>
      <c r="V37" s="316">
        <f t="shared" si="10"/>
        <v>5500.755166666667</v>
      </c>
      <c r="W37" s="316">
        <f t="shared" si="10"/>
        <v>6015.344007936507</v>
      </c>
      <c r="X37" s="316" t="e">
        <f t="shared" si="10"/>
        <v>#DIV/0!</v>
      </c>
      <c r="Y37" s="316">
        <f t="shared" si="10"/>
        <v>4628.680793650793</v>
      </c>
      <c r="Z37" s="316">
        <f>+AVERAGE(L15:L35)</f>
        <v>6346.2002713981865</v>
      </c>
    </row>
    <row r="38" spans="17:26" ht="12.75">
      <c r="Q38" s="313">
        <f aca="true" t="shared" si="11" ref="Q38:Y38">+(Q37-$Z$37)/$Z$37</f>
        <v>0.13144176055990464</v>
      </c>
      <c r="R38" s="313">
        <f t="shared" si="11"/>
        <v>0.5470987976496172</v>
      </c>
      <c r="S38" s="313">
        <f t="shared" si="11"/>
        <v>0.042772795845286114</v>
      </c>
      <c r="T38" s="313">
        <f t="shared" si="11"/>
        <v>-0.1112559864491369</v>
      </c>
      <c r="U38" s="313">
        <f t="shared" si="11"/>
        <v>-0.12298460569900978</v>
      </c>
      <c r="V38" s="313">
        <f t="shared" si="11"/>
        <v>-0.1332206782918391</v>
      </c>
      <c r="W38" s="313">
        <f t="shared" si="11"/>
        <v>-0.052134544973757246</v>
      </c>
      <c r="X38" s="313" t="e">
        <f t="shared" si="11"/>
        <v>#DIV/0!</v>
      </c>
      <c r="Y38" s="313">
        <f t="shared" si="11"/>
        <v>-0.27063745301075914</v>
      </c>
      <c r="Z38" s="314"/>
    </row>
    <row r="40" spans="16:26" ht="12.75">
      <c r="P40" s="315"/>
      <c r="Q40" s="314"/>
      <c r="R40" s="314"/>
      <c r="S40" s="314"/>
      <c r="T40" s="314"/>
      <c r="U40" s="314"/>
      <c r="V40" s="314"/>
      <c r="W40" s="314"/>
      <c r="X40" s="314"/>
      <c r="Y40" s="314"/>
      <c r="Z40" s="314"/>
    </row>
    <row r="41" spans="16:26" ht="12.75">
      <c r="P41" s="315"/>
      <c r="Q41" s="314"/>
      <c r="R41" s="314"/>
      <c r="S41" s="314"/>
      <c r="T41" s="314"/>
      <c r="U41" s="314"/>
      <c r="V41" s="314"/>
      <c r="W41" s="314"/>
      <c r="X41" s="314"/>
      <c r="Y41" s="314"/>
      <c r="Z41" s="314"/>
    </row>
    <row r="55" ht="12.75"/>
    <row r="56" ht="12.75"/>
    <row r="57" ht="12.75"/>
    <row r="59" spans="3:12" ht="12.75">
      <c r="C59" s="44"/>
      <c r="D59" s="44"/>
      <c r="E59" s="44"/>
      <c r="F59" s="44"/>
      <c r="G59" s="44"/>
      <c r="H59" s="44"/>
      <c r="I59" s="44"/>
      <c r="J59" s="44"/>
      <c r="K59" s="44"/>
      <c r="L59" s="44"/>
    </row>
    <row r="60" ht="12.75">
      <c r="B60" s="293"/>
    </row>
    <row r="61" spans="3:12" ht="12.75">
      <c r="C61" s="44"/>
      <c r="D61" s="44"/>
      <c r="E61" s="44"/>
      <c r="F61" s="44"/>
      <c r="G61" s="44"/>
      <c r="H61" s="44"/>
      <c r="I61" s="44"/>
      <c r="J61" s="44"/>
      <c r="K61" s="44"/>
      <c r="L61" s="44"/>
    </row>
    <row r="72" ht="12.75">
      <c r="G72" s="234"/>
    </row>
    <row r="73" ht="12.75">
      <c r="G73" s="234"/>
    </row>
  </sheetData>
  <sheetProtection/>
  <mergeCells count="4">
    <mergeCell ref="B36:M36"/>
    <mergeCell ref="B2:L2"/>
    <mergeCell ref="B3:L3"/>
    <mergeCell ref="B4:L4"/>
  </mergeCells>
  <conditionalFormatting sqref="Q37:Y37">
    <cfRule type="colorScale" priority="1" dxfId="2">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A1" sqref="A1"/>
    </sheetView>
  </sheetViews>
  <sheetFormatPr defaultColWidth="10.8515625" defaultRowHeight="15"/>
  <cols>
    <col min="1" max="1" width="1.8515625" style="35" customWidth="1"/>
    <col min="2" max="2" width="12.28125" style="35" customWidth="1"/>
    <col min="3" max="3" width="10.57421875" style="59" customWidth="1"/>
    <col min="4" max="4" width="12.57421875" style="59" customWidth="1"/>
    <col min="5" max="5" width="10.00390625" style="59" customWidth="1"/>
    <col min="6" max="6" width="12.8515625" style="35" customWidth="1"/>
    <col min="7" max="7" width="13.00390625" style="35" customWidth="1"/>
    <col min="8" max="8" width="12.57421875" style="35" customWidth="1"/>
    <col min="9" max="9" width="14.28125" style="35" customWidth="1"/>
    <col min="10" max="10" width="15.00390625" style="35" customWidth="1"/>
    <col min="11" max="11" width="12.57421875" style="35" customWidth="1"/>
    <col min="12" max="12" width="14.140625" style="35" customWidth="1"/>
    <col min="13" max="13" width="12.28125" style="35" customWidth="1"/>
    <col min="14" max="14" width="1.8515625" style="35" customWidth="1"/>
    <col min="15" max="15" width="10.8515625" style="35" customWidth="1"/>
    <col min="16" max="16" width="10.8515625" style="171" customWidth="1"/>
    <col min="17" max="17" width="13.00390625" style="273" hidden="1" customWidth="1"/>
    <col min="18" max="18" width="8.57421875" style="273" hidden="1" customWidth="1"/>
    <col min="19" max="19" width="10.28125" style="273" hidden="1" customWidth="1"/>
    <col min="20" max="20" width="9.28125" style="273" hidden="1" customWidth="1"/>
    <col min="21" max="21" width="11.421875" style="273" hidden="1" customWidth="1"/>
    <col min="22" max="22" width="10.28125" style="273" hidden="1" customWidth="1"/>
    <col min="23" max="23" width="7.57421875" style="273" hidden="1" customWidth="1"/>
    <col min="24" max="24" width="7.421875" style="273" hidden="1" customWidth="1"/>
    <col min="25" max="25" width="12.421875" style="273" hidden="1" customWidth="1"/>
    <col min="26" max="26" width="9.421875" style="273" hidden="1" customWidth="1"/>
    <col min="27" max="28" width="10.8515625" style="273" hidden="1" customWidth="1"/>
    <col min="29" max="29" width="10.8515625" style="171" customWidth="1"/>
    <col min="30" max="16384" width="10.8515625" style="35" customWidth="1"/>
  </cols>
  <sheetData>
    <row r="1" ht="4.5" customHeight="1"/>
    <row r="2" spans="2:17" ht="12.75">
      <c r="B2" s="354" t="s">
        <v>112</v>
      </c>
      <c r="C2" s="354"/>
      <c r="D2" s="354"/>
      <c r="E2" s="354"/>
      <c r="F2" s="354"/>
      <c r="G2" s="354"/>
      <c r="H2" s="354"/>
      <c r="I2" s="354"/>
      <c r="J2" s="354"/>
      <c r="K2" s="354"/>
      <c r="L2" s="354"/>
      <c r="M2" s="354"/>
      <c r="N2" s="110"/>
      <c r="O2" s="48" t="s">
        <v>152</v>
      </c>
      <c r="P2" s="173"/>
      <c r="Q2" s="318"/>
    </row>
    <row r="3" spans="2:14" ht="12.75">
      <c r="B3" s="354" t="s">
        <v>140</v>
      </c>
      <c r="C3" s="354"/>
      <c r="D3" s="354"/>
      <c r="E3" s="354"/>
      <c r="F3" s="354"/>
      <c r="G3" s="354"/>
      <c r="H3" s="354"/>
      <c r="I3" s="354"/>
      <c r="J3" s="354"/>
      <c r="K3" s="354"/>
      <c r="L3" s="354"/>
      <c r="M3" s="354"/>
      <c r="N3" s="110"/>
    </row>
    <row r="4" spans="2:14" ht="12.75">
      <c r="B4" s="354" t="s">
        <v>134</v>
      </c>
      <c r="C4" s="354"/>
      <c r="D4" s="354"/>
      <c r="E4" s="354"/>
      <c r="F4" s="354"/>
      <c r="G4" s="354"/>
      <c r="H4" s="354"/>
      <c r="I4" s="354"/>
      <c r="J4" s="354"/>
      <c r="K4" s="354"/>
      <c r="L4" s="354"/>
      <c r="M4" s="354"/>
      <c r="N4" s="110"/>
    </row>
    <row r="5" spans="2:27" ht="39" customHeight="1">
      <c r="B5" s="31" t="s">
        <v>65</v>
      </c>
      <c r="C5" s="32" t="s">
        <v>171</v>
      </c>
      <c r="D5" s="32" t="s">
        <v>181</v>
      </c>
      <c r="E5" s="32" t="s">
        <v>172</v>
      </c>
      <c r="F5" s="32" t="s">
        <v>173</v>
      </c>
      <c r="G5" s="32" t="s">
        <v>174</v>
      </c>
      <c r="H5" s="32" t="s">
        <v>175</v>
      </c>
      <c r="I5" s="32" t="s">
        <v>176</v>
      </c>
      <c r="J5" s="32" t="s">
        <v>162</v>
      </c>
      <c r="K5" s="32" t="s">
        <v>177</v>
      </c>
      <c r="L5" s="32" t="s">
        <v>178</v>
      </c>
      <c r="M5" s="32" t="s">
        <v>70</v>
      </c>
      <c r="N5" s="126"/>
      <c r="R5" s="274" t="s">
        <v>164</v>
      </c>
      <c r="S5" s="274" t="s">
        <v>237</v>
      </c>
      <c r="T5" s="274" t="s">
        <v>238</v>
      </c>
      <c r="U5" s="274" t="s">
        <v>173</v>
      </c>
      <c r="V5" s="274" t="s">
        <v>239</v>
      </c>
      <c r="W5" s="274" t="s">
        <v>240</v>
      </c>
      <c r="X5" s="274" t="s">
        <v>241</v>
      </c>
      <c r="Y5" s="274" t="s">
        <v>242</v>
      </c>
      <c r="Z5" s="274" t="s">
        <v>244</v>
      </c>
      <c r="AA5" s="274" t="s">
        <v>243</v>
      </c>
    </row>
    <row r="6" spans="2:27" ht="12.75">
      <c r="B6" s="102">
        <v>42724</v>
      </c>
      <c r="C6" s="103"/>
      <c r="D6" s="103">
        <v>8193.28</v>
      </c>
      <c r="E6" s="103">
        <v>6375.594999999999</v>
      </c>
      <c r="F6" s="103">
        <v>4962.53</v>
      </c>
      <c r="G6" s="103">
        <v>8029.88</v>
      </c>
      <c r="H6" s="103">
        <v>3559.31</v>
      </c>
      <c r="I6" s="103">
        <v>5562.27</v>
      </c>
      <c r="J6" s="103">
        <v>5252.1</v>
      </c>
      <c r="K6" s="103"/>
      <c r="L6" s="103">
        <v>9663.87</v>
      </c>
      <c r="M6" s="103">
        <v>6086.739285714286</v>
      </c>
      <c r="N6" s="127"/>
      <c r="P6" s="250"/>
      <c r="R6" s="317">
        <f aca="true" t="shared" si="0" ref="R6:AA6">+IF(C6=0,"",(C6-$M6)/$M6)</f>
      </c>
      <c r="S6" s="317">
        <f t="shared" si="0"/>
        <v>0.3460868973359535</v>
      </c>
      <c r="T6" s="317">
        <f t="shared" si="0"/>
        <v>0.04745656101349114</v>
      </c>
      <c r="U6" s="317">
        <f t="shared" si="0"/>
        <v>-0.18469811715984463</v>
      </c>
      <c r="V6" s="317">
        <f t="shared" si="0"/>
        <v>0.3192416535477886</v>
      </c>
      <c r="W6" s="317">
        <f t="shared" si="0"/>
        <v>-0.4152353447512068</v>
      </c>
      <c r="X6" s="317">
        <f t="shared" si="0"/>
        <v>-0.08616588637946539</v>
      </c>
      <c r="Y6" s="317">
        <f t="shared" si="0"/>
        <v>-0.1371242050194597</v>
      </c>
      <c r="Z6" s="317">
        <f t="shared" si="0"/>
      </c>
      <c r="AA6" s="317">
        <f t="shared" si="0"/>
        <v>0.5876924485136601</v>
      </c>
    </row>
    <row r="7" spans="2:27" ht="12.75">
      <c r="B7" s="102">
        <v>42725</v>
      </c>
      <c r="C7" s="103"/>
      <c r="D7" s="103">
        <v>8193.28</v>
      </c>
      <c r="E7" s="103">
        <v>6341.91</v>
      </c>
      <c r="F7" s="103">
        <v>5358.38</v>
      </c>
      <c r="G7" s="103">
        <v>8014.82</v>
      </c>
      <c r="H7" s="103">
        <v>4079.13</v>
      </c>
      <c r="I7" s="103">
        <v>5470.67</v>
      </c>
      <c r="J7" s="103"/>
      <c r="K7" s="103">
        <v>8870.21</v>
      </c>
      <c r="L7" s="103">
        <v>9663.87</v>
      </c>
      <c r="M7" s="103">
        <v>6485.2871428571425</v>
      </c>
      <c r="N7" s="127"/>
      <c r="O7" s="250"/>
      <c r="P7" s="250"/>
      <c r="R7" s="317">
        <f aca="true" t="shared" si="1" ref="R7:R35">+IF(C7=0,"",(C7-$M7)/$M7)</f>
      </c>
      <c r="S7" s="317">
        <f aca="true" t="shared" si="2" ref="S7:S35">+IF(D7=0,"",(D7-$M7)/$M7)</f>
        <v>0.26336426121456036</v>
      </c>
      <c r="T7" s="317">
        <f aca="true" t="shared" si="3" ref="T7:T35">+IF(E7=0,"",(E7-$M7)/$M7)</f>
        <v>-0.0221080639451805</v>
      </c>
      <c r="U7" s="317">
        <f aca="true" t="shared" si="4" ref="U7:U35">+IF(F7=0,"",(F7-$M7)/$M7)</f>
        <v>-0.17376364654852813</v>
      </c>
      <c r="V7" s="317">
        <f aca="true" t="shared" si="5" ref="V7:V35">+IF(G7=0,"",(G7-$M7)/$M7)</f>
        <v>0.2358465898965593</v>
      </c>
      <c r="W7" s="317">
        <f aca="true" t="shared" si="6" ref="W7:W35">+IF(H7=0,"",(H7-$M7)/$M7)</f>
        <v>-0.37101782694499036</v>
      </c>
      <c r="X7" s="317">
        <f aca="true" t="shared" si="7" ref="X7:X35">+IF(I7=0,"",(I7-$M7)/$M7)</f>
        <v>-0.15644907010395612</v>
      </c>
      <c r="Y7" s="317">
        <f aca="true" t="shared" si="8" ref="Y7:Y35">+IF(J7=0,"",(J7-$M7)/$M7)</f>
      </c>
      <c r="Z7" s="317">
        <f aca="true" t="shared" si="9" ref="Z7:Z35">+IF(K7=0,"",(K7-$M7)/$M7)</f>
        <v>0.3677436024971688</v>
      </c>
      <c r="AA7" s="317">
        <f aca="true" t="shared" si="10" ref="AA7:AA35">+IF(L7=0,"",(L7-$M7)/$M7)</f>
        <v>0.49012214681099064</v>
      </c>
    </row>
    <row r="8" spans="2:27" ht="12.75">
      <c r="B8" s="102">
        <v>42726</v>
      </c>
      <c r="C8" s="103">
        <v>18277.309999999998</v>
      </c>
      <c r="D8" s="103">
        <v>8193.28</v>
      </c>
      <c r="E8" s="103">
        <v>5471.3150000000005</v>
      </c>
      <c r="F8" s="103">
        <v>5021.786</v>
      </c>
      <c r="G8" s="103">
        <v>6386.55</v>
      </c>
      <c r="H8" s="103">
        <v>3700.71</v>
      </c>
      <c r="I8" s="103">
        <v>5252.1</v>
      </c>
      <c r="J8" s="103"/>
      <c r="K8" s="103">
        <v>6722.69</v>
      </c>
      <c r="L8" s="103">
        <v>9663.87</v>
      </c>
      <c r="M8" s="103">
        <v>7318.786470588235</v>
      </c>
      <c r="N8" s="127"/>
      <c r="O8" s="250"/>
      <c r="P8" s="250"/>
      <c r="R8" s="317">
        <f t="shared" si="1"/>
        <v>1.4973142847452128</v>
      </c>
      <c r="S8" s="317">
        <f t="shared" si="2"/>
        <v>0.11948613788994447</v>
      </c>
      <c r="T8" s="317">
        <f t="shared" si="3"/>
        <v>-0.25242866122855295</v>
      </c>
      <c r="U8" s="317">
        <f t="shared" si="4"/>
        <v>-0.3138499093830807</v>
      </c>
      <c r="V8" s="317">
        <f t="shared" si="5"/>
        <v>-0.12737582580590137</v>
      </c>
      <c r="W8" s="317">
        <f t="shared" si="6"/>
        <v>-0.4943546973433477</v>
      </c>
      <c r="X8" s="317">
        <f t="shared" si="7"/>
        <v>-0.28238103118509594</v>
      </c>
      <c r="Y8" s="317">
        <f t="shared" si="8"/>
      </c>
      <c r="Z8" s="317">
        <f t="shared" si="9"/>
        <v>-0.08144744664757585</v>
      </c>
      <c r="AA8" s="317">
        <f t="shared" si="10"/>
        <v>0.3204197224274647</v>
      </c>
    </row>
    <row r="9" spans="2:27" ht="12.75">
      <c r="B9" s="102">
        <v>42727</v>
      </c>
      <c r="C9" s="103"/>
      <c r="D9" s="103">
        <v>8193.28</v>
      </c>
      <c r="E9" s="103">
        <v>5435.075000000001</v>
      </c>
      <c r="F9" s="103">
        <v>4566.32</v>
      </c>
      <c r="G9" s="103">
        <v>7369.1</v>
      </c>
      <c r="H9" s="103">
        <v>3991.6</v>
      </c>
      <c r="I9" s="103">
        <v>4411.76</v>
      </c>
      <c r="J9" s="103">
        <v>4831.93</v>
      </c>
      <c r="K9" s="103">
        <v>7164.97</v>
      </c>
      <c r="L9" s="103">
        <v>9663.87</v>
      </c>
      <c r="M9" s="103">
        <v>5925.372857142857</v>
      </c>
      <c r="N9" s="127"/>
      <c r="O9" s="250"/>
      <c r="P9" s="250"/>
      <c r="R9" s="317">
        <f t="shared" si="1"/>
      </c>
      <c r="S9" s="317">
        <f t="shared" si="2"/>
        <v>0.3827450520895491</v>
      </c>
      <c r="T9" s="317">
        <f t="shared" si="3"/>
        <v>-0.08274548605862286</v>
      </c>
      <c r="U9" s="317">
        <f t="shared" si="4"/>
        <v>-0.22936157604066396</v>
      </c>
      <c r="V9" s="317">
        <f t="shared" si="5"/>
        <v>0.24365169545689833</v>
      </c>
      <c r="W9" s="317">
        <f t="shared" si="6"/>
        <v>-0.3263546284368844</v>
      </c>
      <c r="X9" s="317">
        <f t="shared" si="7"/>
        <v>-0.2554460105102488</v>
      </c>
      <c r="Y9" s="317">
        <f t="shared" si="8"/>
        <v>-0.1845357049261035</v>
      </c>
      <c r="Z9" s="317">
        <f t="shared" si="9"/>
        <v>0.209201542711839</v>
      </c>
      <c r="AA9" s="317">
        <f t="shared" si="10"/>
        <v>0.6309302778053028</v>
      </c>
    </row>
    <row r="10" spans="2:27" ht="12.75">
      <c r="B10" s="102">
        <v>42730</v>
      </c>
      <c r="C10" s="103">
        <v>17994.504999999997</v>
      </c>
      <c r="D10" s="103">
        <v>8193.28</v>
      </c>
      <c r="E10" s="103">
        <v>4969.57</v>
      </c>
      <c r="F10" s="103">
        <v>5132.556666666666</v>
      </c>
      <c r="G10" s="103"/>
      <c r="H10" s="103">
        <v>4621.85</v>
      </c>
      <c r="I10" s="103">
        <v>4621.85</v>
      </c>
      <c r="J10" s="103"/>
      <c r="K10" s="103">
        <v>7142.86</v>
      </c>
      <c r="L10" s="103">
        <v>9663.87</v>
      </c>
      <c r="M10" s="103">
        <v>8232.77</v>
      </c>
      <c r="N10" s="127"/>
      <c r="O10" s="250"/>
      <c r="P10" s="250"/>
      <c r="R10" s="317">
        <f t="shared" si="1"/>
        <v>1.1857169579619007</v>
      </c>
      <c r="S10" s="317">
        <f t="shared" si="2"/>
        <v>-0.004796684469504162</v>
      </c>
      <c r="T10" s="317">
        <f t="shared" si="3"/>
        <v>-0.3963672008327696</v>
      </c>
      <c r="U10" s="317">
        <f t="shared" si="4"/>
        <v>-0.3765698948632518</v>
      </c>
      <c r="V10" s="317">
        <f t="shared" si="5"/>
      </c>
      <c r="W10" s="317">
        <f t="shared" si="6"/>
        <v>-0.43860328905095125</v>
      </c>
      <c r="X10" s="317">
        <f t="shared" si="7"/>
        <v>-0.43860328905095125</v>
      </c>
      <c r="Y10" s="317">
        <f t="shared" si="8"/>
      </c>
      <c r="Z10" s="317">
        <f t="shared" si="9"/>
        <v>-0.13238679083710594</v>
      </c>
      <c r="AA10" s="317">
        <f t="shared" si="10"/>
        <v>0.17382970737673958</v>
      </c>
    </row>
    <row r="11" spans="2:27" ht="12.75">
      <c r="B11" s="100">
        <v>42731</v>
      </c>
      <c r="C11" s="101">
        <v>18067.225</v>
      </c>
      <c r="D11" s="101">
        <v>8193.28</v>
      </c>
      <c r="E11" s="101">
        <v>5019.36</v>
      </c>
      <c r="F11" s="101">
        <v>5034.725</v>
      </c>
      <c r="G11" s="101">
        <v>7022.81</v>
      </c>
      <c r="H11" s="101">
        <v>4040.08</v>
      </c>
      <c r="I11" s="101">
        <v>4411.76</v>
      </c>
      <c r="J11" s="101">
        <v>6555.905</v>
      </c>
      <c r="K11" s="101"/>
      <c r="L11" s="101">
        <v>9243.7</v>
      </c>
      <c r="M11" s="101">
        <v>7533.049374999999</v>
      </c>
      <c r="N11" s="127"/>
      <c r="O11" s="250"/>
      <c r="P11" s="250"/>
      <c r="R11" s="317">
        <f t="shared" si="1"/>
        <v>1.398394607628601</v>
      </c>
      <c r="S11" s="317">
        <f t="shared" si="2"/>
        <v>0.08764453704380533</v>
      </c>
      <c r="T11" s="317">
        <f t="shared" si="3"/>
        <v>-0.333688158654874</v>
      </c>
      <c r="U11" s="317">
        <f t="shared" si="4"/>
        <v>-0.3316484800021636</v>
      </c>
      <c r="V11" s="317">
        <f t="shared" si="5"/>
        <v>-0.0677334436029763</v>
      </c>
      <c r="W11" s="317">
        <f t="shared" si="6"/>
        <v>-0.46368597909263</v>
      </c>
      <c r="X11" s="317">
        <f t="shared" si="7"/>
        <v>-0.41434606619713005</v>
      </c>
      <c r="Y11" s="317">
        <f t="shared" si="8"/>
        <v>-0.12971431970734948</v>
      </c>
      <c r="Z11" s="317">
        <f t="shared" si="9"/>
      </c>
      <c r="AA11" s="317">
        <f t="shared" si="10"/>
        <v>0.22708607628102828</v>
      </c>
    </row>
    <row r="12" spans="2:27" ht="12.75">
      <c r="B12" s="100">
        <v>42732</v>
      </c>
      <c r="C12" s="101">
        <v>20168.07</v>
      </c>
      <c r="D12" s="101">
        <v>8319.33</v>
      </c>
      <c r="E12" s="101">
        <v>5065.360000000001</v>
      </c>
      <c r="F12" s="101">
        <v>4607.9574999999995</v>
      </c>
      <c r="G12" s="101"/>
      <c r="H12" s="101"/>
      <c r="I12" s="101">
        <v>4831.93</v>
      </c>
      <c r="J12" s="101"/>
      <c r="K12" s="101"/>
      <c r="L12" s="101">
        <v>9243.7</v>
      </c>
      <c r="M12" s="101">
        <v>7222.2645454545445</v>
      </c>
      <c r="N12" s="127"/>
      <c r="O12" s="250"/>
      <c r="P12" s="250"/>
      <c r="R12" s="317">
        <f t="shared" si="1"/>
        <v>1.7924856356436178</v>
      </c>
      <c r="S12" s="317">
        <f t="shared" si="2"/>
        <v>0.15190048047131038</v>
      </c>
      <c r="T12" s="317">
        <f t="shared" si="3"/>
        <v>-0.29864657156764335</v>
      </c>
      <c r="U12" s="317">
        <f t="shared" si="4"/>
        <v>-0.36197885427776305</v>
      </c>
      <c r="V12" s="317">
        <f t="shared" si="5"/>
      </c>
      <c r="W12" s="317">
        <f t="shared" si="6"/>
      </c>
      <c r="X12" s="317">
        <f t="shared" si="7"/>
        <v>-0.33096745908579905</v>
      </c>
      <c r="Y12" s="317">
        <f t="shared" si="8"/>
      </c>
      <c r="Z12" s="317">
        <f t="shared" si="9"/>
      </c>
      <c r="AA12" s="317">
        <f t="shared" si="10"/>
        <v>0.27988942274590056</v>
      </c>
    </row>
    <row r="13" spans="2:27" ht="12.75">
      <c r="B13" s="100">
        <v>42733</v>
      </c>
      <c r="C13" s="101">
        <v>19390.22</v>
      </c>
      <c r="D13" s="101"/>
      <c r="E13" s="101">
        <v>5050.1</v>
      </c>
      <c r="F13" s="101">
        <v>4709.120000000001</v>
      </c>
      <c r="G13" s="101">
        <v>8403.36</v>
      </c>
      <c r="H13" s="101">
        <v>3421.37</v>
      </c>
      <c r="I13" s="101">
        <v>4831.93</v>
      </c>
      <c r="J13" s="101"/>
      <c r="K13" s="101">
        <v>7563.03</v>
      </c>
      <c r="L13" s="101">
        <v>9243.7</v>
      </c>
      <c r="M13" s="101">
        <v>7783.116153846154</v>
      </c>
      <c r="N13" s="127"/>
      <c r="O13" s="250"/>
      <c r="P13" s="250"/>
      <c r="R13" s="317">
        <f t="shared" si="1"/>
        <v>1.4913183378893824</v>
      </c>
      <c r="S13" s="317">
        <f t="shared" si="2"/>
      </c>
      <c r="T13" s="317">
        <f t="shared" si="3"/>
        <v>-0.35114677718070403</v>
      </c>
      <c r="U13" s="317">
        <f t="shared" si="4"/>
        <v>-0.39495699319957955</v>
      </c>
      <c r="V13" s="317">
        <f t="shared" si="5"/>
        <v>0.07969094047855667</v>
      </c>
      <c r="W13" s="317">
        <f t="shared" si="6"/>
        <v>-0.560411288695817</v>
      </c>
      <c r="X13" s="317">
        <f t="shared" si="7"/>
        <v>-0.3791779661913149</v>
      </c>
      <c r="Y13" s="317">
        <f t="shared" si="8"/>
      </c>
      <c r="Z13" s="317">
        <f t="shared" si="9"/>
        <v>-0.02827738266984425</v>
      </c>
      <c r="AA13" s="317">
        <f t="shared" si="10"/>
        <v>0.18766054845938224</v>
      </c>
    </row>
    <row r="14" spans="2:27" ht="12.75">
      <c r="B14" s="100">
        <v>42734</v>
      </c>
      <c r="C14" s="101"/>
      <c r="D14" s="101">
        <v>8613.45</v>
      </c>
      <c r="E14" s="101">
        <v>4948.594999999999</v>
      </c>
      <c r="F14" s="101">
        <v>4667.5725</v>
      </c>
      <c r="G14" s="101"/>
      <c r="H14" s="101">
        <v>3781.51</v>
      </c>
      <c r="I14" s="101">
        <v>4831.93</v>
      </c>
      <c r="J14" s="101">
        <v>5987.05</v>
      </c>
      <c r="K14" s="101">
        <v>6722.69</v>
      </c>
      <c r="L14" s="101">
        <v>8823.53</v>
      </c>
      <c r="M14" s="101">
        <v>5852.01</v>
      </c>
      <c r="N14" s="127"/>
      <c r="O14" s="250"/>
      <c r="P14" s="250"/>
      <c r="R14" s="317">
        <f t="shared" si="1"/>
      </c>
      <c r="S14" s="317">
        <f t="shared" si="2"/>
        <v>0.4718788928932111</v>
      </c>
      <c r="T14" s="317">
        <f t="shared" si="3"/>
        <v>-0.15437687221997243</v>
      </c>
      <c r="U14" s="317">
        <f t="shared" si="4"/>
        <v>-0.20239840670128725</v>
      </c>
      <c r="V14" s="317">
        <f t="shared" si="5"/>
      </c>
      <c r="W14" s="317">
        <f t="shared" si="6"/>
        <v>-0.3538100584243704</v>
      </c>
      <c r="X14" s="317">
        <f t="shared" si="7"/>
        <v>-0.17431275749699673</v>
      </c>
      <c r="Y14" s="317">
        <f t="shared" si="8"/>
        <v>0.0230758320645385</v>
      </c>
      <c r="Z14" s="317">
        <f t="shared" si="9"/>
        <v>0.14878306769810704</v>
      </c>
      <c r="AA14" s="317">
        <f t="shared" si="10"/>
        <v>0.5077776695528545</v>
      </c>
    </row>
    <row r="15" spans="2:27" ht="12.75">
      <c r="B15" s="100">
        <v>42738</v>
      </c>
      <c r="C15" s="101">
        <v>19747.9</v>
      </c>
      <c r="D15" s="101">
        <v>8613.45</v>
      </c>
      <c r="E15" s="101">
        <v>5554.095</v>
      </c>
      <c r="F15" s="101">
        <v>4805.655000000001</v>
      </c>
      <c r="G15" s="101">
        <v>8023.85</v>
      </c>
      <c r="H15" s="101">
        <v>3684.55</v>
      </c>
      <c r="I15" s="101">
        <v>5252.1</v>
      </c>
      <c r="J15" s="101">
        <v>5462.18</v>
      </c>
      <c r="K15" s="101">
        <v>7563.03</v>
      </c>
      <c r="L15" s="101">
        <v>9243.7</v>
      </c>
      <c r="M15" s="101">
        <v>7102.334666666667</v>
      </c>
      <c r="N15" s="127"/>
      <c r="O15" s="250"/>
      <c r="P15" s="250"/>
      <c r="R15" s="317">
        <f t="shared" si="1"/>
        <v>1.7804800712479336</v>
      </c>
      <c r="S15" s="317">
        <f t="shared" si="2"/>
        <v>0.2127631834114267</v>
      </c>
      <c r="T15" s="317">
        <f t="shared" si="3"/>
        <v>-0.21799024395921637</v>
      </c>
      <c r="U15" s="317">
        <f t="shared" si="4"/>
        <v>-0.323369676938156</v>
      </c>
      <c r="V15" s="317">
        <f t="shared" si="5"/>
        <v>0.12974822739039243</v>
      </c>
      <c r="W15" s="317">
        <f t="shared" si="6"/>
        <v>-0.4812198843159742</v>
      </c>
      <c r="X15" s="317">
        <f t="shared" si="7"/>
        <v>-0.2605107691348816</v>
      </c>
      <c r="Y15" s="317">
        <f t="shared" si="8"/>
        <v>-0.23093176309536523</v>
      </c>
      <c r="Z15" s="317">
        <f t="shared" si="9"/>
        <v>0.06486533723840289</v>
      </c>
      <c r="AA15" s="317">
        <f t="shared" si="10"/>
        <v>0.3015016095176967</v>
      </c>
    </row>
    <row r="16" spans="2:27" ht="12.75">
      <c r="B16" s="100">
        <v>42739</v>
      </c>
      <c r="C16" s="101">
        <v>16871.36</v>
      </c>
      <c r="D16" s="101">
        <v>8193.28</v>
      </c>
      <c r="E16" s="101">
        <v>5567.225</v>
      </c>
      <c r="F16" s="101">
        <v>4594.8725</v>
      </c>
      <c r="G16" s="101">
        <v>7947.36</v>
      </c>
      <c r="H16" s="101">
        <v>3828.2</v>
      </c>
      <c r="I16" s="101"/>
      <c r="J16" s="101"/>
      <c r="K16" s="101">
        <v>7563.03</v>
      </c>
      <c r="L16" s="101">
        <v>9243.7</v>
      </c>
      <c r="M16" s="101">
        <v>7027.242307692307</v>
      </c>
      <c r="N16" s="127"/>
      <c r="O16" s="250"/>
      <c r="P16" s="250"/>
      <c r="R16" s="317">
        <f t="shared" si="1"/>
        <v>1.4008507550012783</v>
      </c>
      <c r="S16" s="317">
        <f t="shared" si="2"/>
        <v>0.16593104965674818</v>
      </c>
      <c r="T16" s="317">
        <f t="shared" si="3"/>
        <v>-0.20776532866870293</v>
      </c>
      <c r="U16" s="317">
        <f t="shared" si="4"/>
        <v>-0.3461343299674945</v>
      </c>
      <c r="V16" s="317">
        <f t="shared" si="5"/>
        <v>0.13093581408179056</v>
      </c>
      <c r="W16" s="317">
        <f t="shared" si="6"/>
        <v>-0.4552343817987469</v>
      </c>
      <c r="X16" s="317">
        <f t="shared" si="7"/>
      </c>
      <c r="Y16" s="317">
        <f t="shared" si="8"/>
      </c>
      <c r="Z16" s="317">
        <f t="shared" si="9"/>
        <v>0.0762443742293044</v>
      </c>
      <c r="AA16" s="317">
        <f t="shared" si="10"/>
        <v>0.3154093163802632</v>
      </c>
    </row>
    <row r="17" spans="2:27" ht="12.75">
      <c r="B17" s="100">
        <v>42740</v>
      </c>
      <c r="C17" s="101">
        <v>18466.385000000002</v>
      </c>
      <c r="D17" s="101">
        <v>8193.28</v>
      </c>
      <c r="E17" s="101">
        <v>5340.555</v>
      </c>
      <c r="F17" s="101">
        <v>4922.985000000001</v>
      </c>
      <c r="G17" s="101"/>
      <c r="H17" s="101">
        <v>3684.55</v>
      </c>
      <c r="I17" s="101">
        <v>4411.76</v>
      </c>
      <c r="J17" s="101"/>
      <c r="K17" s="101">
        <v>7563.03</v>
      </c>
      <c r="L17" s="101">
        <v>9243.7</v>
      </c>
      <c r="M17" s="101">
        <v>7756.815714285715</v>
      </c>
      <c r="N17" s="127"/>
      <c r="O17" s="250"/>
      <c r="P17" s="250"/>
      <c r="R17" s="317">
        <f t="shared" si="1"/>
        <v>1.380665685532594</v>
      </c>
      <c r="S17" s="317">
        <f t="shared" si="2"/>
        <v>0.05626848719771049</v>
      </c>
      <c r="T17" s="317">
        <f t="shared" si="3"/>
        <v>-0.3115016268641901</v>
      </c>
      <c r="U17" s="317">
        <f t="shared" si="4"/>
        <v>-0.365334283895214</v>
      </c>
      <c r="V17" s="317">
        <f t="shared" si="5"/>
      </c>
      <c r="W17" s="317">
        <f t="shared" si="6"/>
        <v>-0.524991937965708</v>
      </c>
      <c r="X17" s="317">
        <f t="shared" si="7"/>
        <v>-0.4312408387020374</v>
      </c>
      <c r="Y17" s="317">
        <f t="shared" si="8"/>
      </c>
      <c r="Z17" s="317">
        <f t="shared" si="9"/>
        <v>-0.024982637389311793</v>
      </c>
      <c r="AA17" s="317">
        <f t="shared" si="10"/>
        <v>0.19168745790568326</v>
      </c>
    </row>
    <row r="18" spans="2:27" ht="12.75">
      <c r="B18" s="100">
        <v>42741</v>
      </c>
      <c r="C18" s="101"/>
      <c r="D18" s="101">
        <v>8193.28</v>
      </c>
      <c r="E18" s="101">
        <v>5143.67</v>
      </c>
      <c r="F18" s="101">
        <v>4557.7699999999995</v>
      </c>
      <c r="G18" s="101">
        <v>7711.73</v>
      </c>
      <c r="H18" s="101">
        <v>3454.72</v>
      </c>
      <c r="I18" s="101">
        <v>4831.93</v>
      </c>
      <c r="J18" s="101">
        <v>5672.27</v>
      </c>
      <c r="K18" s="101">
        <v>7563.03</v>
      </c>
      <c r="L18" s="101">
        <v>9243.7</v>
      </c>
      <c r="M18" s="101">
        <v>6063.429999999999</v>
      </c>
      <c r="N18" s="127"/>
      <c r="O18" s="250"/>
      <c r="P18" s="250"/>
      <c r="R18" s="317">
        <f t="shared" si="1"/>
      </c>
      <c r="S18" s="317">
        <f t="shared" si="2"/>
        <v>0.3512615796669544</v>
      </c>
      <c r="T18" s="317">
        <f t="shared" si="3"/>
        <v>-0.1516897201748844</v>
      </c>
      <c r="U18" s="317">
        <f t="shared" si="4"/>
        <v>-0.24831819613651018</v>
      </c>
      <c r="V18" s="317">
        <f t="shared" si="5"/>
        <v>0.2718428348311105</v>
      </c>
      <c r="W18" s="317">
        <f t="shared" si="6"/>
        <v>-0.43023668121838626</v>
      </c>
      <c r="X18" s="317">
        <f t="shared" si="7"/>
        <v>-0.20310286422041637</v>
      </c>
      <c r="Y18" s="317">
        <f t="shared" si="8"/>
        <v>-0.06451134094068851</v>
      </c>
      <c r="Z18" s="317">
        <f t="shared" si="9"/>
        <v>0.2473187618229287</v>
      </c>
      <c r="AA18" s="317">
        <f t="shared" si="10"/>
        <v>0.5245001591508439</v>
      </c>
    </row>
    <row r="19" spans="2:27" ht="12.75">
      <c r="B19" s="100">
        <v>42744</v>
      </c>
      <c r="C19" s="101"/>
      <c r="D19" s="101">
        <v>8193.28</v>
      </c>
      <c r="E19" s="101">
        <v>5138.655000000001</v>
      </c>
      <c r="F19" s="101">
        <v>4982.946666666667</v>
      </c>
      <c r="G19" s="101"/>
      <c r="H19" s="101">
        <v>3781.51</v>
      </c>
      <c r="I19" s="101">
        <v>5109.24</v>
      </c>
      <c r="J19" s="101"/>
      <c r="K19" s="101">
        <v>7563.03</v>
      </c>
      <c r="L19" s="101">
        <v>9243.7</v>
      </c>
      <c r="M19" s="101">
        <v>6119.108181818182</v>
      </c>
      <c r="N19" s="127"/>
      <c r="O19" s="250"/>
      <c r="P19" s="250"/>
      <c r="R19" s="317">
        <f t="shared" si="1"/>
      </c>
      <c r="S19" s="317">
        <f t="shared" si="2"/>
        <v>0.33896635858552776</v>
      </c>
      <c r="T19" s="317">
        <f t="shared" si="3"/>
        <v>-0.16022811702061746</v>
      </c>
      <c r="U19" s="317">
        <f t="shared" si="4"/>
        <v>-0.18567436322296324</v>
      </c>
      <c r="V19" s="317">
        <f t="shared" si="5"/>
      </c>
      <c r="W19" s="317">
        <f t="shared" si="6"/>
        <v>-0.38201615535478356</v>
      </c>
      <c r="X19" s="317">
        <f t="shared" si="7"/>
        <v>-0.16503519006557557</v>
      </c>
      <c r="Y19" s="317">
        <f t="shared" si="8"/>
      </c>
      <c r="Z19" s="317">
        <f t="shared" si="9"/>
        <v>0.23596932351550332</v>
      </c>
      <c r="AA19" s="317">
        <f t="shared" si="10"/>
        <v>0.5106286284439251</v>
      </c>
    </row>
    <row r="20" spans="2:27" ht="12.75">
      <c r="B20" s="100">
        <v>42745</v>
      </c>
      <c r="C20" s="101"/>
      <c r="D20" s="101">
        <v>8193.28</v>
      </c>
      <c r="E20" s="101">
        <v>5238.1</v>
      </c>
      <c r="F20" s="101">
        <v>4103.6125</v>
      </c>
      <c r="G20" s="101">
        <v>8406.66</v>
      </c>
      <c r="H20" s="101">
        <v>3781.51</v>
      </c>
      <c r="I20" s="101">
        <v>5402.66</v>
      </c>
      <c r="J20" s="101">
        <v>5656.26</v>
      </c>
      <c r="K20" s="101">
        <v>7563.03</v>
      </c>
      <c r="L20" s="101">
        <v>9243.7</v>
      </c>
      <c r="M20" s="101">
        <v>6282.48294117647</v>
      </c>
      <c r="N20" s="127"/>
      <c r="O20" s="250"/>
      <c r="P20" s="250"/>
      <c r="R20" s="317">
        <f t="shared" si="1"/>
      </c>
      <c r="S20" s="317">
        <f t="shared" si="2"/>
        <v>0.3041467962132995</v>
      </c>
      <c r="T20" s="317">
        <f t="shared" si="3"/>
        <v>-0.1662372904081291</v>
      </c>
      <c r="U20" s="317">
        <f t="shared" si="4"/>
        <v>-0.34681676999005917</v>
      </c>
      <c r="V20" s="317">
        <f t="shared" si="5"/>
        <v>0.33811107466783696</v>
      </c>
      <c r="W20" s="317">
        <f t="shared" si="6"/>
        <v>-0.3980867062582319</v>
      </c>
      <c r="X20" s="317">
        <f t="shared" si="7"/>
        <v>-0.1400438249358323</v>
      </c>
      <c r="Y20" s="317">
        <f t="shared" si="8"/>
        <v>-0.09967761903054247</v>
      </c>
      <c r="Z20" s="317">
        <f t="shared" si="9"/>
        <v>0.20382817921089835</v>
      </c>
      <c r="AA20" s="317">
        <f t="shared" si="10"/>
        <v>0.4713450217930885</v>
      </c>
    </row>
    <row r="21" spans="2:27" ht="12.75">
      <c r="B21" s="100">
        <v>42746</v>
      </c>
      <c r="C21" s="101"/>
      <c r="D21" s="101">
        <v>8193.28</v>
      </c>
      <c r="E21" s="101">
        <v>5149.9</v>
      </c>
      <c r="F21" s="101">
        <v>4087.395</v>
      </c>
      <c r="G21" s="101"/>
      <c r="H21" s="101">
        <v>3361.34</v>
      </c>
      <c r="I21" s="101">
        <v>4627.195</v>
      </c>
      <c r="J21" s="101"/>
      <c r="K21" s="101">
        <v>7563.03</v>
      </c>
      <c r="L21" s="101"/>
      <c r="M21" s="101">
        <v>5267.891666666666</v>
      </c>
      <c r="N21" s="127"/>
      <c r="O21" s="250"/>
      <c r="P21" s="250"/>
      <c r="R21" s="317">
        <f t="shared" si="1"/>
      </c>
      <c r="S21" s="317">
        <f t="shared" si="2"/>
        <v>0.5553243153886677</v>
      </c>
      <c r="T21" s="317">
        <f t="shared" si="3"/>
        <v>-0.022398271288165593</v>
      </c>
      <c r="U21" s="317">
        <f t="shared" si="4"/>
        <v>-0.2240928138550052</v>
      </c>
      <c r="V21" s="317">
        <f t="shared" si="5"/>
      </c>
      <c r="W21" s="317">
        <f t="shared" si="6"/>
        <v>-0.3619193004158842</v>
      </c>
      <c r="X21" s="317">
        <f t="shared" si="7"/>
        <v>-0.12162297693416248</v>
      </c>
      <c r="Y21" s="317">
        <f t="shared" si="8"/>
      </c>
      <c r="Z21" s="317">
        <f t="shared" si="9"/>
        <v>0.43568442150322634</v>
      </c>
      <c r="AA21" s="317">
        <f t="shared" si="10"/>
      </c>
    </row>
    <row r="22" spans="2:27" ht="12.75">
      <c r="B22" s="100">
        <v>42747</v>
      </c>
      <c r="C22" s="101">
        <v>13655.46</v>
      </c>
      <c r="D22" s="101">
        <v>8319.33</v>
      </c>
      <c r="E22" s="101">
        <v>5252.1</v>
      </c>
      <c r="F22" s="101">
        <v>4217.3425</v>
      </c>
      <c r="G22" s="101"/>
      <c r="H22" s="101">
        <v>3781.51</v>
      </c>
      <c r="I22" s="101">
        <v>3937.13</v>
      </c>
      <c r="J22" s="101"/>
      <c r="K22" s="101">
        <v>7563.03</v>
      </c>
      <c r="L22" s="101">
        <v>9243.7</v>
      </c>
      <c r="M22" s="101">
        <v>7006.148</v>
      </c>
      <c r="N22" s="127"/>
      <c r="O22" s="250"/>
      <c r="P22" s="250"/>
      <c r="R22" s="317">
        <f t="shared" si="1"/>
        <v>0.9490681612777805</v>
      </c>
      <c r="S22" s="317">
        <f t="shared" si="2"/>
        <v>0.1874328090128841</v>
      </c>
      <c r="T22" s="317">
        <f t="shared" si="3"/>
        <v>-0.2503583995085459</v>
      </c>
      <c r="U22" s="317">
        <f t="shared" si="4"/>
        <v>-0.39805118304666137</v>
      </c>
      <c r="V22" s="317">
        <f t="shared" si="5"/>
      </c>
      <c r="W22" s="317">
        <f t="shared" si="6"/>
        <v>-0.4602583331097202</v>
      </c>
      <c r="X22" s="317">
        <f t="shared" si="7"/>
        <v>-0.4380464129504544</v>
      </c>
      <c r="Y22" s="317">
        <f t="shared" si="8"/>
      </c>
      <c r="Z22" s="317">
        <f t="shared" si="9"/>
        <v>0.07948476109839524</v>
      </c>
      <c r="AA22" s="317">
        <f t="shared" si="10"/>
        <v>0.3193697877920935</v>
      </c>
    </row>
    <row r="23" spans="2:27" ht="12.75">
      <c r="B23" s="100">
        <v>42748</v>
      </c>
      <c r="C23" s="101"/>
      <c r="D23" s="101">
        <v>7773.11</v>
      </c>
      <c r="E23" s="101">
        <v>4989.495000000001</v>
      </c>
      <c r="F23" s="101">
        <v>4204.735000000001</v>
      </c>
      <c r="G23" s="101">
        <v>7175.18</v>
      </c>
      <c r="H23" s="101">
        <v>3841.54</v>
      </c>
      <c r="I23" s="101"/>
      <c r="J23" s="101">
        <v>5462.18</v>
      </c>
      <c r="K23" s="101">
        <v>7563.03</v>
      </c>
      <c r="L23" s="101">
        <v>9243.7</v>
      </c>
      <c r="M23" s="101">
        <v>6022.377333333334</v>
      </c>
      <c r="N23" s="127"/>
      <c r="O23" s="250"/>
      <c r="P23" s="250"/>
      <c r="R23" s="317">
        <f t="shared" si="1"/>
      </c>
      <c r="S23" s="317">
        <f t="shared" si="2"/>
        <v>0.29070457890051377</v>
      </c>
      <c r="T23" s="317">
        <f t="shared" si="3"/>
        <v>-0.17150740914495996</v>
      </c>
      <c r="U23" s="317">
        <f t="shared" si="4"/>
        <v>-0.30181475399637303</v>
      </c>
      <c r="V23" s="317">
        <f t="shared" si="5"/>
        <v>0.19141986675029546</v>
      </c>
      <c r="W23" s="317">
        <f t="shared" si="6"/>
        <v>-0.36212233352808854</v>
      </c>
      <c r="X23" s="317">
        <f t="shared" si="7"/>
      </c>
      <c r="Y23" s="317">
        <f t="shared" si="8"/>
        <v>-0.09301930156928064</v>
      </c>
      <c r="Z23" s="317">
        <f t="shared" si="9"/>
        <v>0.2558213445277312</v>
      </c>
      <c r="AA23" s="317">
        <f t="shared" si="10"/>
        <v>0.5348922009315037</v>
      </c>
    </row>
    <row r="24" spans="2:27" ht="12.75">
      <c r="B24" s="100">
        <v>42751</v>
      </c>
      <c r="C24" s="101">
        <v>13550.42</v>
      </c>
      <c r="D24" s="101">
        <v>8193.28</v>
      </c>
      <c r="E24" s="101">
        <v>5140.88</v>
      </c>
      <c r="F24" s="101">
        <v>5355.013333333333</v>
      </c>
      <c r="G24" s="101"/>
      <c r="H24" s="101">
        <v>3781.51</v>
      </c>
      <c r="I24" s="101">
        <v>3799.02</v>
      </c>
      <c r="J24" s="101"/>
      <c r="K24" s="101">
        <v>7181.05</v>
      </c>
      <c r="L24" s="101">
        <v>9243.7</v>
      </c>
      <c r="M24" s="101">
        <v>6690.755</v>
      </c>
      <c r="N24" s="127"/>
      <c r="O24" s="250"/>
      <c r="P24" s="250"/>
      <c r="R24" s="317">
        <f t="shared" si="1"/>
        <v>1.025245282483068</v>
      </c>
      <c r="S24" s="317">
        <f t="shared" si="2"/>
        <v>0.2245673320873355</v>
      </c>
      <c r="T24" s="317">
        <f t="shared" si="3"/>
        <v>-0.23164426137259547</v>
      </c>
      <c r="U24" s="317">
        <f t="shared" si="4"/>
        <v>-0.19963990112725197</v>
      </c>
      <c r="V24" s="317">
        <f t="shared" si="5"/>
      </c>
      <c r="W24" s="317">
        <f t="shared" si="6"/>
        <v>-0.4348156523441674</v>
      </c>
      <c r="X24" s="317">
        <f t="shared" si="7"/>
        <v>-0.4321986083782772</v>
      </c>
      <c r="Y24" s="317">
        <f t="shared" si="8"/>
      </c>
      <c r="Z24" s="317">
        <f t="shared" si="9"/>
        <v>0.07327947294438371</v>
      </c>
      <c r="AA24" s="317">
        <f t="shared" si="10"/>
        <v>0.3815630672472689</v>
      </c>
    </row>
    <row r="25" spans="2:27" ht="12.75">
      <c r="B25" s="100">
        <v>42752</v>
      </c>
      <c r="C25" s="101"/>
      <c r="D25" s="101">
        <v>8193.28</v>
      </c>
      <c r="E25" s="101">
        <v>5140.06</v>
      </c>
      <c r="F25" s="101">
        <v>4834.592500000001</v>
      </c>
      <c r="G25" s="101">
        <v>7181.05</v>
      </c>
      <c r="H25" s="101">
        <v>3912.815</v>
      </c>
      <c r="I25" s="101">
        <v>4079.13</v>
      </c>
      <c r="J25" s="101">
        <v>4621.85</v>
      </c>
      <c r="K25" s="101">
        <v>7212.89</v>
      </c>
      <c r="L25" s="101">
        <v>7983.19</v>
      </c>
      <c r="M25" s="101">
        <v>5595.665000000002</v>
      </c>
      <c r="N25" s="127"/>
      <c r="O25" s="250"/>
      <c r="P25" s="250"/>
      <c r="R25" s="317">
        <f t="shared" si="1"/>
      </c>
      <c r="S25" s="317">
        <f t="shared" si="2"/>
        <v>0.46421917680919034</v>
      </c>
      <c r="T25" s="317">
        <f t="shared" si="3"/>
        <v>-0.08142106434177193</v>
      </c>
      <c r="U25" s="317">
        <f t="shared" si="4"/>
        <v>-0.13601109072826928</v>
      </c>
      <c r="V25" s="317">
        <f t="shared" si="5"/>
        <v>0.2833237872531679</v>
      </c>
      <c r="W25" s="317">
        <f t="shared" si="6"/>
        <v>-0.30074173489656747</v>
      </c>
      <c r="X25" s="317">
        <f t="shared" si="7"/>
        <v>-0.27101961965199867</v>
      </c>
      <c r="Y25" s="317">
        <f t="shared" si="8"/>
        <v>-0.17403025377680778</v>
      </c>
      <c r="Z25" s="317">
        <f t="shared" si="9"/>
        <v>0.28901390630068063</v>
      </c>
      <c r="AA25" s="317">
        <f t="shared" si="10"/>
        <v>0.42667404142313686</v>
      </c>
    </row>
    <row r="26" spans="2:27" ht="12.75">
      <c r="B26" s="100">
        <v>42753</v>
      </c>
      <c r="C26" s="101">
        <v>13685.47</v>
      </c>
      <c r="D26" s="101">
        <v>8193.28</v>
      </c>
      <c r="E26" s="101">
        <v>5171.3</v>
      </c>
      <c r="F26" s="101">
        <v>4348.71</v>
      </c>
      <c r="G26" s="101"/>
      <c r="H26" s="101">
        <v>4516.81</v>
      </c>
      <c r="I26" s="101">
        <v>3781.51</v>
      </c>
      <c r="J26" s="101"/>
      <c r="K26" s="101">
        <v>7202.88</v>
      </c>
      <c r="L26" s="101">
        <v>7563.03</v>
      </c>
      <c r="M26" s="101">
        <v>6221.053846153846</v>
      </c>
      <c r="N26" s="127"/>
      <c r="O26" s="250"/>
      <c r="P26" s="250"/>
      <c r="R26" s="317">
        <f t="shared" si="1"/>
        <v>1.1998636145001402</v>
      </c>
      <c r="S26" s="317">
        <f t="shared" si="2"/>
        <v>0.31702444676081354</v>
      </c>
      <c r="T26" s="317">
        <f t="shared" si="3"/>
        <v>-0.1687421250666162</v>
      </c>
      <c r="U26" s="317">
        <f t="shared" si="4"/>
        <v>-0.3009689182020855</v>
      </c>
      <c r="V26" s="317">
        <f t="shared" si="5"/>
      </c>
      <c r="W26" s="317">
        <f t="shared" si="6"/>
        <v>-0.27394777288537553</v>
      </c>
      <c r="X26" s="317">
        <f t="shared" si="7"/>
        <v>-0.39214318128143016</v>
      </c>
      <c r="Y26" s="317">
        <f t="shared" si="8"/>
      </c>
      <c r="Z26" s="317">
        <f t="shared" si="9"/>
        <v>0.15782312420477856</v>
      </c>
      <c r="AA26" s="317">
        <f t="shared" si="10"/>
        <v>0.2157152448818342</v>
      </c>
    </row>
    <row r="27" spans="2:27" ht="12.75">
      <c r="B27" s="100">
        <v>42754</v>
      </c>
      <c r="C27" s="101">
        <v>13445.38</v>
      </c>
      <c r="D27" s="101">
        <v>8193.28</v>
      </c>
      <c r="E27" s="101">
        <v>5022.92</v>
      </c>
      <c r="F27" s="101">
        <v>4514.145</v>
      </c>
      <c r="G27" s="101"/>
      <c r="H27" s="101">
        <v>4621.85</v>
      </c>
      <c r="I27" s="101"/>
      <c r="J27" s="101"/>
      <c r="K27" s="101">
        <v>7096.17</v>
      </c>
      <c r="L27" s="101">
        <v>7563.03</v>
      </c>
      <c r="M27" s="101">
        <v>6805.902857142858</v>
      </c>
      <c r="N27" s="127"/>
      <c r="O27" s="250"/>
      <c r="P27" s="250"/>
      <c r="R27" s="317">
        <f t="shared" si="1"/>
        <v>0.9755468572239389</v>
      </c>
      <c r="S27" s="317">
        <f t="shared" si="2"/>
        <v>0.2038490957009587</v>
      </c>
      <c r="T27" s="317">
        <f t="shared" si="3"/>
        <v>-0.26197594860931656</v>
      </c>
      <c r="U27" s="317">
        <f t="shared" si="4"/>
        <v>-0.33673090921914006</v>
      </c>
      <c r="V27" s="317">
        <f t="shared" si="5"/>
      </c>
      <c r="W27" s="317">
        <f t="shared" si="6"/>
        <v>-0.32090567599722264</v>
      </c>
      <c r="X27" s="317">
        <f t="shared" si="7"/>
      </c>
      <c r="Y27" s="317">
        <f t="shared" si="8"/>
      </c>
      <c r="Z27" s="317">
        <f t="shared" si="9"/>
        <v>0.0426493220590864</v>
      </c>
      <c r="AA27" s="317">
        <f t="shared" si="10"/>
        <v>0.11124565818075552</v>
      </c>
    </row>
    <row r="28" spans="2:27" ht="12.75">
      <c r="B28" s="100">
        <v>42755</v>
      </c>
      <c r="C28" s="101"/>
      <c r="D28" s="101">
        <v>8193.28</v>
      </c>
      <c r="E28" s="101">
        <v>5102.04</v>
      </c>
      <c r="F28" s="101">
        <v>4156.08</v>
      </c>
      <c r="G28" s="101"/>
      <c r="H28" s="101">
        <v>4621.85</v>
      </c>
      <c r="I28" s="101">
        <v>3853.96</v>
      </c>
      <c r="J28" s="101">
        <v>4621.85</v>
      </c>
      <c r="K28" s="101">
        <v>6981.25</v>
      </c>
      <c r="L28" s="101">
        <v>7563.03</v>
      </c>
      <c r="M28" s="101">
        <v>5357.04</v>
      </c>
      <c r="N28" s="127"/>
      <c r="O28" s="250"/>
      <c r="P28" s="250"/>
      <c r="R28" s="317">
        <f t="shared" si="1"/>
      </c>
      <c r="S28" s="317">
        <f t="shared" si="2"/>
        <v>0.5294416319460001</v>
      </c>
      <c r="T28" s="317">
        <f t="shared" si="3"/>
        <v>-0.047600913937547604</v>
      </c>
      <c r="U28" s="317">
        <f t="shared" si="4"/>
        <v>-0.22418350432328302</v>
      </c>
      <c r="V28" s="317">
        <f t="shared" si="5"/>
      </c>
      <c r="W28" s="317">
        <f t="shared" si="6"/>
        <v>-0.13723810163821804</v>
      </c>
      <c r="X28" s="317">
        <f t="shared" si="7"/>
        <v>-0.2805803204754865</v>
      </c>
      <c r="Y28" s="317">
        <f t="shared" si="8"/>
        <v>-0.13723810163821804</v>
      </c>
      <c r="Z28" s="317">
        <f t="shared" si="9"/>
        <v>0.30319168794707524</v>
      </c>
      <c r="AA28" s="317">
        <f t="shared" si="10"/>
        <v>0.41179270641996324</v>
      </c>
    </row>
    <row r="29" spans="2:27" ht="12.75">
      <c r="B29" s="100">
        <v>42758</v>
      </c>
      <c r="C29" s="101">
        <v>14705.88</v>
      </c>
      <c r="D29" s="101">
        <v>8193.28</v>
      </c>
      <c r="E29" s="101">
        <v>5282.626666666667</v>
      </c>
      <c r="F29" s="101">
        <v>5013.04</v>
      </c>
      <c r="G29" s="101"/>
      <c r="H29" s="101">
        <v>4621.85</v>
      </c>
      <c r="I29" s="101">
        <v>4020.69</v>
      </c>
      <c r="J29" s="101"/>
      <c r="K29" s="101">
        <v>6772.12</v>
      </c>
      <c r="L29" s="101"/>
      <c r="M29" s="101">
        <v>6216.35642857143</v>
      </c>
      <c r="N29" s="127"/>
      <c r="O29" s="250"/>
      <c r="P29" s="250"/>
      <c r="R29" s="317">
        <f t="shared" si="1"/>
        <v>1.3656751618052783</v>
      </c>
      <c r="S29" s="317">
        <f t="shared" si="2"/>
        <v>0.3180196621838307</v>
      </c>
      <c r="T29" s="317">
        <f t="shared" si="3"/>
        <v>-0.15020531281204896</v>
      </c>
      <c r="U29" s="317">
        <f t="shared" si="4"/>
        <v>-0.1935726244783493</v>
      </c>
      <c r="V29" s="317">
        <f t="shared" si="5"/>
      </c>
      <c r="W29" s="317">
        <f t="shared" si="6"/>
        <v>-0.25650177027218185</v>
      </c>
      <c r="X29" s="317">
        <f t="shared" si="7"/>
        <v>-0.3532079368035871</v>
      </c>
      <c r="Y29" s="317">
        <f t="shared" si="8"/>
      </c>
      <c r="Z29" s="317">
        <f t="shared" si="9"/>
        <v>0.08940342752455216</v>
      </c>
      <c r="AA29" s="317">
        <f t="shared" si="10"/>
      </c>
    </row>
    <row r="30" spans="2:27" ht="12.75">
      <c r="B30" s="100">
        <v>42759</v>
      </c>
      <c r="C30" s="101">
        <v>14705.88</v>
      </c>
      <c r="D30" s="101">
        <v>8193.28</v>
      </c>
      <c r="E30" s="101">
        <v>4988.275</v>
      </c>
      <c r="F30" s="101">
        <v>4913.193333333334</v>
      </c>
      <c r="G30" s="101"/>
      <c r="H30" s="101">
        <v>4621.85</v>
      </c>
      <c r="I30" s="101">
        <v>3914.1</v>
      </c>
      <c r="J30" s="101">
        <v>5455.17</v>
      </c>
      <c r="K30" s="101">
        <v>7189.54</v>
      </c>
      <c r="L30" s="101">
        <v>6302.52</v>
      </c>
      <c r="M30" s="101">
        <v>6080.179374999999</v>
      </c>
      <c r="N30" s="127"/>
      <c r="O30" s="250"/>
      <c r="P30" s="250"/>
      <c r="R30" s="317">
        <f t="shared" si="1"/>
        <v>1.41865890675306</v>
      </c>
      <c r="S30" s="317">
        <f t="shared" si="2"/>
        <v>0.3475391916377471</v>
      </c>
      <c r="T30" s="317">
        <f t="shared" si="3"/>
        <v>-0.17958423718379188</v>
      </c>
      <c r="U30" s="317">
        <f t="shared" si="4"/>
        <v>-0.19193283120313626</v>
      </c>
      <c r="V30" s="317">
        <f t="shared" si="5"/>
      </c>
      <c r="W30" s="317">
        <f t="shared" si="6"/>
        <v>-0.23984972893994574</v>
      </c>
      <c r="X30" s="317">
        <f t="shared" si="7"/>
        <v>-0.35625254476970086</v>
      </c>
      <c r="Y30" s="317">
        <f t="shared" si="8"/>
        <v>-0.10279456187918778</v>
      </c>
      <c r="Z30" s="317">
        <f t="shared" si="9"/>
        <v>0.1824552462319422</v>
      </c>
      <c r="AA30" s="317">
        <f t="shared" si="10"/>
        <v>0.03656810289416859</v>
      </c>
    </row>
    <row r="31" spans="2:28" ht="12.75">
      <c r="B31" s="100">
        <v>42760</v>
      </c>
      <c r="C31" s="101">
        <v>11659.66</v>
      </c>
      <c r="D31" s="101">
        <v>8193.28</v>
      </c>
      <c r="E31" s="101">
        <v>4913.635</v>
      </c>
      <c r="F31" s="101">
        <v>4848.94</v>
      </c>
      <c r="G31" s="101">
        <v>4542.36</v>
      </c>
      <c r="H31" s="101">
        <v>4621.85</v>
      </c>
      <c r="I31" s="101">
        <v>4071.28</v>
      </c>
      <c r="J31" s="101"/>
      <c r="K31" s="101">
        <v>7120.74</v>
      </c>
      <c r="L31" s="101">
        <v>6302.52</v>
      </c>
      <c r="M31" s="101">
        <v>5978.636428571429</v>
      </c>
      <c r="N31" s="127"/>
      <c r="O31" s="250"/>
      <c r="P31" s="250"/>
      <c r="R31" s="317">
        <f t="shared" si="1"/>
        <v>0.9502206128941727</v>
      </c>
      <c r="S31" s="317">
        <f t="shared" si="2"/>
        <v>0.37042619966736323</v>
      </c>
      <c r="T31" s="317">
        <f t="shared" si="3"/>
        <v>-0.1781345029582116</v>
      </c>
      <c r="U31" s="317">
        <f t="shared" si="4"/>
        <v>-0.18895553226362785</v>
      </c>
      <c r="V31" s="317">
        <f t="shared" si="5"/>
        <v>-0.24023478358837447</v>
      </c>
      <c r="W31" s="317">
        <f t="shared" si="6"/>
        <v>-0.22693910974205656</v>
      </c>
      <c r="X31" s="317">
        <f t="shared" si="7"/>
        <v>-0.31902867005866486</v>
      </c>
      <c r="Y31" s="317">
        <f t="shared" si="8"/>
      </c>
      <c r="Z31" s="317">
        <f t="shared" si="9"/>
        <v>0.19103077851841743</v>
      </c>
      <c r="AA31" s="317">
        <f t="shared" si="10"/>
        <v>0.05417348509114179</v>
      </c>
      <c r="AB31" s="275"/>
    </row>
    <row r="32" spans="2:27" ht="12.75">
      <c r="B32" s="100">
        <v>42761</v>
      </c>
      <c r="C32" s="101"/>
      <c r="D32" s="101">
        <v>8193.28</v>
      </c>
      <c r="E32" s="101">
        <v>5471.956666666668</v>
      </c>
      <c r="F32" s="101">
        <v>6061.272</v>
      </c>
      <c r="G32" s="101">
        <v>7366.945</v>
      </c>
      <c r="H32" s="101">
        <v>4044.1150000000002</v>
      </c>
      <c r="I32" s="101">
        <v>4081.63</v>
      </c>
      <c r="J32" s="101"/>
      <c r="K32" s="101">
        <v>7142.86</v>
      </c>
      <c r="L32" s="101">
        <v>6722.69</v>
      </c>
      <c r="M32" s="101">
        <v>6110.475882352942</v>
      </c>
      <c r="N32" s="127"/>
      <c r="O32" s="250"/>
      <c r="P32" s="250"/>
      <c r="R32" s="317">
        <f t="shared" si="1"/>
      </c>
      <c r="S32" s="317">
        <f t="shared" si="2"/>
        <v>0.3408579229749025</v>
      </c>
      <c r="T32" s="317">
        <f t="shared" si="3"/>
        <v>-0.10449582454458546</v>
      </c>
      <c r="U32" s="317">
        <f t="shared" si="4"/>
        <v>-0.00805238140208405</v>
      </c>
      <c r="V32" s="317">
        <f t="shared" si="5"/>
        <v>0.2056254114799375</v>
      </c>
      <c r="W32" s="317">
        <f t="shared" si="6"/>
        <v>-0.33816693202580067</v>
      </c>
      <c r="X32" s="317">
        <f t="shared" si="7"/>
        <v>-0.33202747566883456</v>
      </c>
      <c r="Y32" s="317">
        <f t="shared" si="8"/>
      </c>
      <c r="Z32" s="317">
        <f t="shared" si="9"/>
        <v>0.1689531449798507</v>
      </c>
      <c r="AA32" s="317">
        <f t="shared" si="10"/>
        <v>0.10019090647508036</v>
      </c>
    </row>
    <row r="33" spans="2:27" ht="12.75">
      <c r="B33" s="100">
        <v>42762</v>
      </c>
      <c r="C33" s="101"/>
      <c r="D33" s="101">
        <v>8256.305</v>
      </c>
      <c r="E33" s="101">
        <v>4985.455</v>
      </c>
      <c r="F33" s="101">
        <v>5151.19</v>
      </c>
      <c r="G33" s="101">
        <v>9869.285</v>
      </c>
      <c r="H33" s="101">
        <v>4411.765</v>
      </c>
      <c r="I33" s="101">
        <v>3749.19</v>
      </c>
      <c r="J33" s="101">
        <v>5822.33</v>
      </c>
      <c r="K33" s="101">
        <v>6932.77</v>
      </c>
      <c r="L33" s="101">
        <v>6302.52</v>
      </c>
      <c r="M33" s="101">
        <v>6220.4</v>
      </c>
      <c r="N33" s="127"/>
      <c r="O33" s="250"/>
      <c r="P33" s="250"/>
      <c r="R33" s="317">
        <f t="shared" si="1"/>
      </c>
      <c r="S33" s="317">
        <f t="shared" si="2"/>
        <v>0.32729486849720285</v>
      </c>
      <c r="T33" s="317">
        <f t="shared" si="3"/>
        <v>-0.19853144492315603</v>
      </c>
      <c r="U33" s="317">
        <f t="shared" si="4"/>
        <v>-0.171887659957559</v>
      </c>
      <c r="V33" s="317">
        <f t="shared" si="5"/>
        <v>0.5865997363513601</v>
      </c>
      <c r="W33" s="317">
        <f t="shared" si="6"/>
        <v>-0.2907586328853449</v>
      </c>
      <c r="X33" s="317">
        <f t="shared" si="7"/>
        <v>-0.3972750948492058</v>
      </c>
      <c r="Y33" s="317">
        <f t="shared" si="8"/>
        <v>-0.06399427689537646</v>
      </c>
      <c r="Z33" s="317">
        <f t="shared" si="9"/>
        <v>0.11452157417529434</v>
      </c>
      <c r="AA33" s="317">
        <f t="shared" si="10"/>
        <v>0.013201723361841812</v>
      </c>
    </row>
    <row r="34" spans="2:27" ht="12.75">
      <c r="B34" s="100">
        <v>42765</v>
      </c>
      <c r="C34" s="101"/>
      <c r="D34" s="101">
        <v>8193.28</v>
      </c>
      <c r="E34" s="101">
        <v>5451.125</v>
      </c>
      <c r="F34" s="101">
        <v>6552.77</v>
      </c>
      <c r="G34" s="101">
        <v>7996.75</v>
      </c>
      <c r="H34" s="101">
        <v>5042.02</v>
      </c>
      <c r="I34" s="101"/>
      <c r="J34" s="101"/>
      <c r="K34" s="101">
        <v>6302.52</v>
      </c>
      <c r="L34" s="101">
        <v>6302.52</v>
      </c>
      <c r="M34" s="101">
        <v>6599.175454545455</v>
      </c>
      <c r="N34" s="127"/>
      <c r="O34" s="250"/>
      <c r="P34" s="250"/>
      <c r="R34" s="317">
        <f t="shared" si="1"/>
      </c>
      <c r="S34" s="317">
        <f t="shared" si="2"/>
        <v>0.24156117024537363</v>
      </c>
      <c r="T34" s="317">
        <f t="shared" si="3"/>
        <v>-0.1739687726827581</v>
      </c>
      <c r="U34" s="317">
        <f t="shared" si="4"/>
        <v>-0.007032007993285124</v>
      </c>
      <c r="V34" s="317">
        <f t="shared" si="5"/>
        <v>0.21178017694497087</v>
      </c>
      <c r="W34" s="317">
        <f t="shared" si="6"/>
        <v>-0.23596212364271954</v>
      </c>
      <c r="X34" s="317">
        <f t="shared" si="7"/>
      </c>
      <c r="Y34" s="317">
        <f t="shared" si="8"/>
      </c>
      <c r="Z34" s="317">
        <f t="shared" si="9"/>
        <v>-0.044953412223813646</v>
      </c>
      <c r="AA34" s="317">
        <f t="shared" si="10"/>
        <v>-0.044953412223813646</v>
      </c>
    </row>
    <row r="35" spans="2:28" ht="12.75">
      <c r="B35" s="58">
        <v>42766</v>
      </c>
      <c r="C35" s="33">
        <v>14659.2</v>
      </c>
      <c r="D35" s="33">
        <v>8193.28</v>
      </c>
      <c r="E35" s="33">
        <v>5194.81</v>
      </c>
      <c r="F35" s="33">
        <v>6488.553333333333</v>
      </c>
      <c r="G35" s="33"/>
      <c r="H35" s="33">
        <v>4720.41</v>
      </c>
      <c r="I35" s="33">
        <v>4066.63</v>
      </c>
      <c r="J35" s="33">
        <v>5252.1</v>
      </c>
      <c r="K35" s="33">
        <v>6407.56</v>
      </c>
      <c r="L35" s="33">
        <v>6302.52</v>
      </c>
      <c r="M35" s="33">
        <v>6746.734615384616</v>
      </c>
      <c r="N35" s="127"/>
      <c r="O35" s="250"/>
      <c r="P35" s="250"/>
      <c r="R35" s="317">
        <f t="shared" si="1"/>
        <v>1.172784441020186</v>
      </c>
      <c r="S35" s="317">
        <f t="shared" si="2"/>
        <v>0.21440674149488848</v>
      </c>
      <c r="T35" s="317">
        <f t="shared" si="3"/>
        <v>-0.23002603538691935</v>
      </c>
      <c r="U35" s="317">
        <f t="shared" si="4"/>
        <v>-0.038267591178486576</v>
      </c>
      <c r="V35" s="317">
        <f t="shared" si="5"/>
      </c>
      <c r="W35" s="317">
        <f t="shared" si="6"/>
        <v>-0.3003415327414801</v>
      </c>
      <c r="X35" s="317">
        <f t="shared" si="7"/>
        <v>-0.3972447069836063</v>
      </c>
      <c r="Y35" s="317">
        <f t="shared" si="8"/>
        <v>-0.22153452011827943</v>
      </c>
      <c r="Z35" s="317">
        <f t="shared" si="9"/>
        <v>-0.05027241098400306</v>
      </c>
      <c r="AA35" s="317">
        <f t="shared" si="10"/>
        <v>-0.06584142414193529</v>
      </c>
      <c r="AB35" s="275"/>
    </row>
    <row r="36" spans="2:27" ht="12.75">
      <c r="B36" s="108" t="s">
        <v>189</v>
      </c>
      <c r="F36" s="59"/>
      <c r="G36" s="59"/>
      <c r="H36" s="59"/>
      <c r="I36" s="59"/>
      <c r="J36" s="59"/>
      <c r="K36" s="59"/>
      <c r="L36" s="59"/>
      <c r="R36" s="314"/>
      <c r="S36" s="314"/>
      <c r="T36" s="314"/>
      <c r="U36" s="314"/>
      <c r="V36" s="314"/>
      <c r="W36" s="314"/>
      <c r="X36" s="314"/>
      <c r="Y36" s="314"/>
      <c r="Z36" s="314"/>
      <c r="AA36" s="314"/>
    </row>
    <row r="37" spans="17:28" ht="12.75">
      <c r="Q37" s="315" t="s">
        <v>190</v>
      </c>
      <c r="R37" s="319">
        <f>+AVERAGE(C15:C35)</f>
        <v>15013.908636363638</v>
      </c>
      <c r="S37" s="319">
        <f aca="true" t="shared" si="11" ref="S37:AA37">+AVERAGE(D15:D35)</f>
        <v>8202.28357142857</v>
      </c>
      <c r="T37" s="319">
        <f t="shared" si="11"/>
        <v>5201.8513492063485</v>
      </c>
      <c r="U37" s="319">
        <f t="shared" si="11"/>
        <v>4891.181603174603</v>
      </c>
      <c r="V37" s="319">
        <f t="shared" si="11"/>
        <v>7622.117</v>
      </c>
      <c r="W37" s="319">
        <f t="shared" si="11"/>
        <v>4130.3869047619055</v>
      </c>
      <c r="X37" s="319">
        <f t="shared" si="11"/>
        <v>4293.479705882353</v>
      </c>
      <c r="Y37" s="319">
        <f t="shared" si="11"/>
        <v>5336.243333333333</v>
      </c>
      <c r="Z37" s="319">
        <f t="shared" si="11"/>
        <v>7219.505714285713</v>
      </c>
      <c r="AA37" s="319">
        <f t="shared" si="11"/>
        <v>8005.3089473684195</v>
      </c>
      <c r="AB37" s="319">
        <f>+AVERAGE(M15:M35)</f>
        <v>6346.2002713981865</v>
      </c>
    </row>
    <row r="38" spans="18:28" ht="12.75">
      <c r="R38" s="320">
        <f aca="true" t="shared" si="12" ref="R38:AA38">+(R37-$AB$37)/$AB$37</f>
        <v>1.3658107204763323</v>
      </c>
      <c r="S38" s="320">
        <f t="shared" si="12"/>
        <v>0.2924715925520979</v>
      </c>
      <c r="T38" s="320">
        <f t="shared" si="12"/>
        <v>-0.18032032921326585</v>
      </c>
      <c r="U38" s="320">
        <f t="shared" si="12"/>
        <v>-0.22927399167990892</v>
      </c>
      <c r="V38" s="320">
        <f t="shared" si="12"/>
        <v>0.20105207431796118</v>
      </c>
      <c r="W38" s="320">
        <f t="shared" si="12"/>
        <v>-0.3491559156465284</v>
      </c>
      <c r="X38" s="320">
        <f t="shared" si="12"/>
        <v>-0.32345663195775265</v>
      </c>
      <c r="Y38" s="320">
        <f t="shared" si="12"/>
        <v>-0.15914356542081537</v>
      </c>
      <c r="Z38" s="320">
        <f t="shared" si="12"/>
        <v>0.13761076006747597</v>
      </c>
      <c r="AA38" s="320">
        <f t="shared" si="12"/>
        <v>0.26143339400234533</v>
      </c>
      <c r="AB38" s="314"/>
    </row>
    <row r="40" spans="18:27" ht="12.75">
      <c r="R40" s="321">
        <f>+_xlfn.AVERAGEIF(R15:R35,"&lt;&gt;#¡DIV/0!")</f>
        <v>1.2380963227035844</v>
      </c>
      <c r="S40" s="321">
        <f aca="true" t="shared" si="13" ref="S40:AA40">+_xlfn.AVERAGEIF(S15:S35,"&lt;&gt;#¡DIV/0!")</f>
        <v>0.30295269514473044</v>
      </c>
      <c r="T40" s="321">
        <f t="shared" si="13"/>
        <v>-0.17457175480270146</v>
      </c>
      <c r="U40" s="321">
        <f t="shared" si="13"/>
        <v>-0.22556387252976168</v>
      </c>
      <c r="V40" s="321">
        <f t="shared" si="13"/>
        <v>0.2109152146162488</v>
      </c>
      <c r="W40" s="321">
        <f t="shared" si="13"/>
        <v>-0.34344068961793356</v>
      </c>
      <c r="X40" s="321">
        <f t="shared" si="13"/>
        <v>-0.31121064916847946</v>
      </c>
      <c r="Y40" s="321">
        <f t="shared" si="13"/>
        <v>-0.1319701932159718</v>
      </c>
      <c r="Z40" s="321">
        <f t="shared" si="13"/>
        <v>0.14720617749692014</v>
      </c>
      <c r="AA40" s="321">
        <f t="shared" si="13"/>
        <v>0.25314022534339686</v>
      </c>
    </row>
    <row r="41" spans="18:27" ht="12.75">
      <c r="R41" s="317">
        <f aca="true" t="shared" si="14" ref="R41:AA41">+_xlfn.STDEV.S(R6:R35)</f>
        <v>0.26546803219379994</v>
      </c>
      <c r="S41" s="317">
        <f t="shared" si="14"/>
        <v>0.13438949134227884</v>
      </c>
      <c r="T41" s="317">
        <f t="shared" si="14"/>
        <v>0.10211755017698632</v>
      </c>
      <c r="U41" s="317">
        <f t="shared" si="14"/>
        <v>0.1088574440610873</v>
      </c>
      <c r="V41" s="317">
        <f t="shared" si="14"/>
        <v>0.19744260127973828</v>
      </c>
      <c r="W41" s="317">
        <f t="shared" si="14"/>
        <v>0.10014547943078732</v>
      </c>
      <c r="X41" s="317">
        <f t="shared" si="14"/>
        <v>0.10959403451025106</v>
      </c>
      <c r="Y41" s="317">
        <f t="shared" si="14"/>
        <v>0.06968130956441122</v>
      </c>
      <c r="Z41" s="317">
        <f t="shared" si="14"/>
        <v>0.14072775918641978</v>
      </c>
      <c r="AA41" s="317">
        <f t="shared" si="14"/>
        <v>0.19995049398482637</v>
      </c>
    </row>
    <row r="42" spans="18:27" ht="12.75">
      <c r="R42" s="276"/>
      <c r="S42" s="276"/>
      <c r="T42" s="276"/>
      <c r="U42" s="276"/>
      <c r="V42" s="276"/>
      <c r="W42" s="276"/>
      <c r="X42" s="276"/>
      <c r="Y42" s="276"/>
      <c r="Z42" s="276"/>
      <c r="AA42" s="276"/>
    </row>
    <row r="58" ht="12.75">
      <c r="B58" s="57"/>
    </row>
  </sheetData>
  <sheetProtection/>
  <mergeCells count="3">
    <mergeCell ref="B2:M2"/>
    <mergeCell ref="B3:M3"/>
    <mergeCell ref="B4:M4"/>
  </mergeCells>
  <conditionalFormatting sqref="R37:AA37">
    <cfRule type="colorScale" priority="1" dxfId="2">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AL46"/>
  <sheetViews>
    <sheetView zoomScale="80" zoomScaleNormal="80" zoomScalePageLayoutView="90" workbookViewId="0" topLeftCell="A1">
      <selection activeCell="A1" sqref="A1"/>
    </sheetView>
  </sheetViews>
  <sheetFormatPr defaultColWidth="10.8515625" defaultRowHeight="15"/>
  <cols>
    <col min="1" max="1" width="1.7109375" style="20" customWidth="1"/>
    <col min="2" max="2" width="38.00390625" style="20" customWidth="1"/>
    <col min="3" max="10" width="10.8515625" style="20" customWidth="1"/>
    <col min="11" max="11" width="2.421875" style="20" customWidth="1"/>
    <col min="12" max="12" width="10.8515625" style="20" customWidth="1"/>
    <col min="13" max="13" width="8.28125" style="174" customWidth="1"/>
    <col min="14" max="14" width="7.7109375" style="166" hidden="1" customWidth="1"/>
    <col min="15" max="15" width="10.8515625" style="174" customWidth="1"/>
    <col min="16" max="16384" width="10.8515625" style="20" customWidth="1"/>
  </cols>
  <sheetData>
    <row r="1" ht="6.75" customHeight="1"/>
    <row r="2" spans="2:18" ht="12.75">
      <c r="B2" s="354" t="s">
        <v>59</v>
      </c>
      <c r="C2" s="354"/>
      <c r="D2" s="354"/>
      <c r="E2" s="354"/>
      <c r="F2" s="354"/>
      <c r="G2" s="354"/>
      <c r="H2" s="354"/>
      <c r="I2" s="354"/>
      <c r="J2" s="354"/>
      <c r="K2" s="110"/>
      <c r="L2" s="48" t="s">
        <v>152</v>
      </c>
      <c r="O2" s="237"/>
      <c r="P2" s="235"/>
      <c r="Q2" s="235"/>
      <c r="R2" s="235"/>
    </row>
    <row r="3" spans="2:18" ht="12.75">
      <c r="B3" s="354" t="s">
        <v>106</v>
      </c>
      <c r="C3" s="354"/>
      <c r="D3" s="354"/>
      <c r="E3" s="354"/>
      <c r="F3" s="354"/>
      <c r="G3" s="354"/>
      <c r="H3" s="354"/>
      <c r="I3" s="354"/>
      <c r="J3" s="354"/>
      <c r="K3" s="110"/>
      <c r="O3" s="237"/>
      <c r="P3" s="235"/>
      <c r="Q3" s="235"/>
      <c r="R3" s="235"/>
    </row>
    <row r="4" spans="2:18" ht="12.75">
      <c r="B4" s="354" t="s">
        <v>109</v>
      </c>
      <c r="C4" s="354"/>
      <c r="D4" s="354"/>
      <c r="E4" s="354"/>
      <c r="F4" s="354"/>
      <c r="G4" s="354"/>
      <c r="H4" s="354"/>
      <c r="I4" s="354"/>
      <c r="J4" s="354"/>
      <c r="K4" s="110"/>
      <c r="O4" s="237"/>
      <c r="P4" s="235"/>
      <c r="Q4" s="235"/>
      <c r="R4" s="235"/>
    </row>
    <row r="5" spans="2:16" ht="15" customHeight="1">
      <c r="B5" s="359" t="s">
        <v>46</v>
      </c>
      <c r="C5" s="362" t="s">
        <v>67</v>
      </c>
      <c r="D5" s="363"/>
      <c r="E5" s="363"/>
      <c r="F5" s="364"/>
      <c r="G5" s="362" t="s">
        <v>68</v>
      </c>
      <c r="H5" s="363"/>
      <c r="I5" s="363"/>
      <c r="J5" s="364"/>
      <c r="K5" s="110"/>
      <c r="O5" s="237"/>
      <c r="P5" s="235"/>
    </row>
    <row r="6" spans="2:16" ht="12.75" customHeight="1">
      <c r="B6" s="360"/>
      <c r="C6" s="362" t="s">
        <v>45</v>
      </c>
      <c r="D6" s="363"/>
      <c r="E6" s="363" t="s">
        <v>44</v>
      </c>
      <c r="F6" s="364"/>
      <c r="G6" s="362" t="s">
        <v>45</v>
      </c>
      <c r="H6" s="363"/>
      <c r="I6" s="363" t="s">
        <v>44</v>
      </c>
      <c r="J6" s="364"/>
      <c r="K6" s="110"/>
      <c r="O6" s="237"/>
      <c r="P6" s="235"/>
    </row>
    <row r="7" spans="2:24" ht="21.75" customHeight="1">
      <c r="B7" s="361"/>
      <c r="C7" s="88">
        <v>2016</v>
      </c>
      <c r="D7" s="89">
        <f>+C7+1</f>
        <v>2017</v>
      </c>
      <c r="E7" s="89" t="s">
        <v>43</v>
      </c>
      <c r="F7" s="90" t="s">
        <v>42</v>
      </c>
      <c r="G7" s="88">
        <f>+C7</f>
        <v>2016</v>
      </c>
      <c r="H7" s="89">
        <f>+D7</f>
        <v>2017</v>
      </c>
      <c r="I7" s="89" t="s">
        <v>43</v>
      </c>
      <c r="J7" s="90" t="s">
        <v>42</v>
      </c>
      <c r="K7" s="164"/>
      <c r="L7" s="166"/>
      <c r="O7" s="237"/>
      <c r="P7" s="237"/>
      <c r="U7" s="237"/>
      <c r="V7" s="237"/>
      <c r="W7" s="237"/>
      <c r="X7" s="237"/>
    </row>
    <row r="8" spans="2:38" ht="12.75" customHeight="1">
      <c r="B8" s="63" t="s">
        <v>41</v>
      </c>
      <c r="C8" s="85">
        <v>1409</v>
      </c>
      <c r="D8" s="73">
        <v>1091</v>
      </c>
      <c r="E8" s="86">
        <f>+(D8/C19-1)*100</f>
        <v>0.8317929759704246</v>
      </c>
      <c r="F8" s="87">
        <f>(D8/C8-1)*100</f>
        <v>-22.569198012775015</v>
      </c>
      <c r="G8" s="73">
        <v>476</v>
      </c>
      <c r="H8" s="73">
        <v>394</v>
      </c>
      <c r="I8" s="86">
        <f>+(H8/G19-1)*100</f>
        <v>2.0725388601036343</v>
      </c>
      <c r="J8" s="87">
        <f>(H8/G8-1)*100</f>
        <v>-17.226890756302527</v>
      </c>
      <c r="K8" s="86"/>
      <c r="N8" s="322">
        <f>+D8/H8-1</f>
        <v>1.7690355329949239</v>
      </c>
      <c r="O8" s="237"/>
      <c r="P8" s="237"/>
      <c r="U8" s="237"/>
      <c r="V8" s="237"/>
      <c r="W8" s="237"/>
      <c r="X8" s="237"/>
      <c r="Y8" s="235"/>
      <c r="Z8" s="235"/>
      <c r="AA8" s="235"/>
      <c r="AB8" s="235"/>
      <c r="AC8" s="235"/>
      <c r="AD8" s="235"/>
      <c r="AE8" s="235"/>
      <c r="AF8" s="235"/>
      <c r="AG8" s="235"/>
      <c r="AH8" s="235"/>
      <c r="AI8" s="235"/>
      <c r="AJ8" s="235"/>
      <c r="AK8" s="235"/>
      <c r="AL8" s="235"/>
    </row>
    <row r="9" spans="2:38" ht="12.75" customHeight="1">
      <c r="B9" s="63" t="s">
        <v>40</v>
      </c>
      <c r="C9" s="85">
        <v>1396</v>
      </c>
      <c r="D9" s="73"/>
      <c r="E9" s="86"/>
      <c r="F9" s="87"/>
      <c r="G9" s="73">
        <v>439</v>
      </c>
      <c r="H9" s="73"/>
      <c r="I9" s="86"/>
      <c r="J9" s="87"/>
      <c r="K9" s="86"/>
      <c r="N9" s="322" t="e">
        <f>+D9/H9-1</f>
        <v>#DIV/0!</v>
      </c>
      <c r="O9" s="237"/>
      <c r="P9" s="237"/>
      <c r="U9" s="237"/>
      <c r="V9" s="237"/>
      <c r="W9" s="237"/>
      <c r="X9" s="237"/>
      <c r="Y9" s="235"/>
      <c r="Z9" s="235"/>
      <c r="AA9" s="235"/>
      <c r="AB9" s="235"/>
      <c r="AC9" s="235"/>
      <c r="AD9" s="235"/>
      <c r="AE9" s="235"/>
      <c r="AF9" s="235"/>
      <c r="AG9" s="235"/>
      <c r="AH9" s="235"/>
      <c r="AI9" s="235"/>
      <c r="AJ9" s="235"/>
      <c r="AK9" s="235"/>
      <c r="AL9" s="235"/>
    </row>
    <row r="10" spans="2:38" ht="12.75" customHeight="1">
      <c r="B10" s="63" t="s">
        <v>39</v>
      </c>
      <c r="C10" s="85">
        <v>1197</v>
      </c>
      <c r="D10" s="73"/>
      <c r="E10" s="86"/>
      <c r="F10" s="87"/>
      <c r="G10" s="73">
        <v>435</v>
      </c>
      <c r="H10" s="73"/>
      <c r="I10" s="86"/>
      <c r="J10" s="87"/>
      <c r="K10" s="86"/>
      <c r="N10" s="322" t="e">
        <f aca="true" t="shared" si="0" ref="N10:N19">+D10/H10-1</f>
        <v>#DIV/0!</v>
      </c>
      <c r="O10" s="237"/>
      <c r="P10" s="237"/>
      <c r="U10" s="237"/>
      <c r="V10" s="237"/>
      <c r="W10" s="237"/>
      <c r="X10" s="237"/>
      <c r="Y10" s="237"/>
      <c r="Z10" s="237"/>
      <c r="AA10" s="237"/>
      <c r="AB10" s="237"/>
      <c r="AC10" s="237"/>
      <c r="AD10" s="237"/>
      <c r="AE10" s="237"/>
      <c r="AF10" s="237"/>
      <c r="AG10" s="237"/>
      <c r="AH10" s="237"/>
      <c r="AI10" s="237"/>
      <c r="AJ10" s="237"/>
      <c r="AK10" s="237"/>
      <c r="AL10" s="237"/>
    </row>
    <row r="11" spans="2:38" ht="12.75">
      <c r="B11" s="63" t="s">
        <v>38</v>
      </c>
      <c r="C11" s="85">
        <v>1117</v>
      </c>
      <c r="D11" s="73"/>
      <c r="E11" s="86"/>
      <c r="F11" s="87"/>
      <c r="G11" s="73">
        <v>470</v>
      </c>
      <c r="H11" s="73"/>
      <c r="I11" s="86"/>
      <c r="J11" s="87"/>
      <c r="K11" s="86"/>
      <c r="N11" s="322" t="e">
        <f t="shared" si="0"/>
        <v>#DIV/0!</v>
      </c>
      <c r="O11" s="237"/>
      <c r="P11" s="237"/>
      <c r="U11" s="237"/>
      <c r="V11" s="237"/>
      <c r="W11" s="237"/>
      <c r="X11" s="237"/>
      <c r="Y11" s="237"/>
      <c r="Z11" s="237"/>
      <c r="AA11" s="237"/>
      <c r="AB11" s="237"/>
      <c r="AC11" s="237"/>
      <c r="AD11" s="237"/>
      <c r="AE11" s="237"/>
      <c r="AF11" s="237"/>
      <c r="AG11" s="237"/>
      <c r="AH11" s="237"/>
      <c r="AI11" s="237"/>
      <c r="AJ11" s="237"/>
      <c r="AK11" s="237"/>
      <c r="AL11" s="237"/>
    </row>
    <row r="12" spans="2:38" ht="12.75" customHeight="1">
      <c r="B12" s="63" t="s">
        <v>37</v>
      </c>
      <c r="C12" s="85">
        <v>1090</v>
      </c>
      <c r="D12" s="73"/>
      <c r="E12" s="86"/>
      <c r="F12" s="87"/>
      <c r="G12" s="73">
        <v>462</v>
      </c>
      <c r="H12" s="73"/>
      <c r="I12" s="86"/>
      <c r="J12" s="87"/>
      <c r="K12" s="86"/>
      <c r="N12" s="322" t="e">
        <f t="shared" si="0"/>
        <v>#DIV/0!</v>
      </c>
      <c r="O12" s="237"/>
      <c r="P12" s="235"/>
      <c r="U12" s="235"/>
      <c r="V12" s="235"/>
      <c r="W12" s="235"/>
      <c r="X12" s="235"/>
      <c r="Y12" s="237"/>
      <c r="Z12" s="237"/>
      <c r="AA12" s="237"/>
      <c r="AB12" s="237"/>
      <c r="AC12" s="237"/>
      <c r="AD12" s="237"/>
      <c r="AE12" s="237"/>
      <c r="AF12" s="237"/>
      <c r="AG12" s="237"/>
      <c r="AH12" s="237"/>
      <c r="AI12" s="237"/>
      <c r="AL12" s="237"/>
    </row>
    <row r="13" spans="2:33" ht="12.75" customHeight="1">
      <c r="B13" s="63" t="s">
        <v>36</v>
      </c>
      <c r="C13" s="85">
        <v>1136</v>
      </c>
      <c r="D13" s="73"/>
      <c r="E13" s="86"/>
      <c r="F13" s="87"/>
      <c r="G13" s="73">
        <v>528</v>
      </c>
      <c r="H13" s="73"/>
      <c r="I13" s="86"/>
      <c r="J13" s="87"/>
      <c r="K13" s="86"/>
      <c r="M13" s="272"/>
      <c r="N13" s="322" t="e">
        <f t="shared" si="0"/>
        <v>#DIV/0!</v>
      </c>
      <c r="O13" s="237"/>
      <c r="P13" s="235"/>
      <c r="U13" s="235"/>
      <c r="V13" s="235"/>
      <c r="W13" s="235"/>
      <c r="X13" s="235"/>
      <c r="Y13" s="235"/>
      <c r="Z13" s="235"/>
      <c r="AA13" s="235"/>
      <c r="AB13" s="235"/>
      <c r="AC13" s="235"/>
      <c r="AD13" s="235"/>
      <c r="AE13" s="235"/>
      <c r="AF13" s="235"/>
      <c r="AG13" s="235"/>
    </row>
    <row r="14" spans="2:33" ht="12.75">
      <c r="B14" s="63" t="s">
        <v>35</v>
      </c>
      <c r="C14" s="85">
        <v>1067</v>
      </c>
      <c r="D14" s="73"/>
      <c r="E14" s="86"/>
      <c r="F14" s="87"/>
      <c r="G14" s="73">
        <v>522</v>
      </c>
      <c r="H14" s="73"/>
      <c r="I14" s="86"/>
      <c r="J14" s="87"/>
      <c r="K14" s="86"/>
      <c r="N14" s="322" t="e">
        <f t="shared" si="0"/>
        <v>#DIV/0!</v>
      </c>
      <c r="O14" s="237"/>
      <c r="P14" s="235"/>
      <c r="U14" s="235"/>
      <c r="V14" s="235"/>
      <c r="W14" s="235"/>
      <c r="X14" s="235"/>
      <c r="Y14" s="235"/>
      <c r="Z14" s="235"/>
      <c r="AA14" s="235"/>
      <c r="AB14" s="235"/>
      <c r="AC14" s="235"/>
      <c r="AD14" s="235"/>
      <c r="AE14" s="235"/>
      <c r="AF14" s="235"/>
      <c r="AG14" s="235"/>
    </row>
    <row r="15" spans="2:33" ht="13.5" customHeight="1">
      <c r="B15" s="63" t="s">
        <v>34</v>
      </c>
      <c r="C15" s="85">
        <v>1043</v>
      </c>
      <c r="D15" s="73"/>
      <c r="E15" s="86"/>
      <c r="F15" s="87"/>
      <c r="G15" s="73">
        <v>537</v>
      </c>
      <c r="H15" s="73"/>
      <c r="I15" s="86"/>
      <c r="J15" s="87"/>
      <c r="K15" s="86"/>
      <c r="N15" s="322" t="e">
        <f t="shared" si="0"/>
        <v>#DIV/0!</v>
      </c>
      <c r="O15" s="237"/>
      <c r="P15" s="235"/>
      <c r="U15" s="235"/>
      <c r="V15" s="235"/>
      <c r="W15" s="235"/>
      <c r="X15" s="235"/>
      <c r="Y15" s="235"/>
      <c r="Z15" s="235"/>
      <c r="AA15" s="235"/>
      <c r="AB15" s="235"/>
      <c r="AC15" s="235"/>
      <c r="AD15" s="235"/>
      <c r="AE15" s="235"/>
      <c r="AF15" s="235"/>
      <c r="AG15" s="235"/>
    </row>
    <row r="16" spans="2:33" ht="12.75">
      <c r="B16" s="63" t="s">
        <v>33</v>
      </c>
      <c r="C16" s="85">
        <v>1035</v>
      </c>
      <c r="D16" s="73"/>
      <c r="E16" s="86"/>
      <c r="F16" s="87"/>
      <c r="G16" s="73">
        <v>502</v>
      </c>
      <c r="H16" s="73"/>
      <c r="I16" s="86"/>
      <c r="J16" s="87"/>
      <c r="K16" s="86"/>
      <c r="N16" s="322" t="e">
        <f t="shared" si="0"/>
        <v>#DIV/0!</v>
      </c>
      <c r="O16" s="237"/>
      <c r="P16" s="235"/>
      <c r="U16" s="235"/>
      <c r="V16" s="235"/>
      <c r="W16" s="235"/>
      <c r="X16" s="235"/>
      <c r="Y16" s="235"/>
      <c r="Z16" s="235"/>
      <c r="AA16" s="235"/>
      <c r="AB16" s="235"/>
      <c r="AC16" s="235"/>
      <c r="AD16" s="235"/>
      <c r="AE16" s="235"/>
      <c r="AF16" s="235"/>
      <c r="AG16" s="235"/>
    </row>
    <row r="17" spans="2:33" ht="12.75" customHeight="1">
      <c r="B17" s="63" t="s">
        <v>32</v>
      </c>
      <c r="C17" s="85">
        <v>1042</v>
      </c>
      <c r="D17" s="73"/>
      <c r="E17" s="86"/>
      <c r="F17" s="87"/>
      <c r="G17" s="73">
        <v>524</v>
      </c>
      <c r="H17" s="73"/>
      <c r="I17" s="86"/>
      <c r="J17" s="87"/>
      <c r="K17" s="86"/>
      <c r="N17" s="322" t="e">
        <f t="shared" si="0"/>
        <v>#DIV/0!</v>
      </c>
      <c r="O17" s="237"/>
      <c r="P17" s="235"/>
      <c r="U17" s="235"/>
      <c r="V17" s="235"/>
      <c r="W17" s="235"/>
      <c r="X17" s="235"/>
      <c r="Y17" s="235"/>
      <c r="Z17" s="235"/>
      <c r="AA17" s="235"/>
      <c r="AB17" s="235"/>
      <c r="AC17" s="235"/>
      <c r="AD17" s="235"/>
      <c r="AE17" s="235"/>
      <c r="AF17" s="235"/>
      <c r="AG17" s="235"/>
    </row>
    <row r="18" spans="2:33" ht="12.75">
      <c r="B18" s="63" t="s">
        <v>31</v>
      </c>
      <c r="C18" s="85">
        <v>1130</v>
      </c>
      <c r="D18" s="73"/>
      <c r="E18" s="86"/>
      <c r="F18" s="87"/>
      <c r="G18" s="73">
        <v>477</v>
      </c>
      <c r="H18" s="73"/>
      <c r="I18" s="86"/>
      <c r="J18" s="87"/>
      <c r="K18" s="86"/>
      <c r="N18" s="322" t="e">
        <f t="shared" si="0"/>
        <v>#DIV/0!</v>
      </c>
      <c r="O18" s="237"/>
      <c r="P18" s="235"/>
      <c r="U18" s="235"/>
      <c r="V18" s="235"/>
      <c r="W18" s="235"/>
      <c r="X18" s="235"/>
      <c r="Y18" s="235"/>
      <c r="Z18" s="235"/>
      <c r="AA18" s="235"/>
      <c r="AB18" s="235"/>
      <c r="AC18" s="235"/>
      <c r="AD18" s="235"/>
      <c r="AE18" s="235"/>
      <c r="AF18" s="235"/>
      <c r="AG18" s="235"/>
    </row>
    <row r="19" spans="2:33" ht="12.75">
      <c r="B19" s="63" t="s">
        <v>30</v>
      </c>
      <c r="C19" s="85">
        <v>1082</v>
      </c>
      <c r="D19" s="73"/>
      <c r="E19" s="86"/>
      <c r="F19" s="87"/>
      <c r="G19" s="73">
        <v>386</v>
      </c>
      <c r="H19" s="73"/>
      <c r="I19" s="86"/>
      <c r="J19" s="87"/>
      <c r="K19" s="86"/>
      <c r="N19" s="322" t="e">
        <f t="shared" si="0"/>
        <v>#DIV/0!</v>
      </c>
      <c r="O19" s="237"/>
      <c r="P19" s="235"/>
      <c r="U19" s="235"/>
      <c r="V19" s="235"/>
      <c r="W19" s="235"/>
      <c r="X19" s="235"/>
      <c r="Y19" s="235"/>
      <c r="Z19" s="235"/>
      <c r="AA19" s="235"/>
      <c r="AB19" s="235"/>
      <c r="AC19" s="235"/>
      <c r="AD19" s="235"/>
      <c r="AE19" s="235"/>
      <c r="AF19" s="235"/>
      <c r="AG19" s="235"/>
    </row>
    <row r="20" spans="2:33" ht="12.75">
      <c r="B20" s="146" t="s">
        <v>69</v>
      </c>
      <c r="C20" s="148">
        <f>AVERAGE(C8:C19)</f>
        <v>1145.3333333333333</v>
      </c>
      <c r="D20" s="149">
        <f>AVERAGE(D8:D19)</f>
        <v>1091</v>
      </c>
      <c r="E20" s="150"/>
      <c r="F20" s="151"/>
      <c r="G20" s="148">
        <f>AVERAGE(G8:G19)</f>
        <v>479.8333333333333</v>
      </c>
      <c r="H20" s="149">
        <f>AVERAGE(H8:H19)</f>
        <v>394</v>
      </c>
      <c r="I20" s="152"/>
      <c r="J20" s="151"/>
      <c r="K20" s="86"/>
      <c r="O20" s="237"/>
      <c r="P20" s="235"/>
      <c r="U20" s="235"/>
      <c r="V20" s="235"/>
      <c r="W20" s="235"/>
      <c r="X20" s="235"/>
      <c r="Y20" s="235"/>
      <c r="Z20" s="235"/>
      <c r="AA20" s="235"/>
      <c r="AB20" s="235"/>
      <c r="AC20" s="235"/>
      <c r="AD20" s="235"/>
      <c r="AE20" s="235"/>
      <c r="AF20" s="235"/>
      <c r="AG20" s="235"/>
    </row>
    <row r="21" spans="2:33" ht="12.75" customHeight="1">
      <c r="B21" s="147" t="str">
        <f>+'precio mayorista'!B21</f>
        <v>Promedio simple a la fecha*</v>
      </c>
      <c r="C21" s="153">
        <f>AVERAGE(C8)</f>
        <v>1409</v>
      </c>
      <c r="D21" s="154">
        <f>AVERAGE(D8)</f>
        <v>1091</v>
      </c>
      <c r="E21" s="155"/>
      <c r="F21" s="156">
        <f>(D21/C21-1)*100</f>
        <v>-22.569198012775015</v>
      </c>
      <c r="G21" s="153">
        <f>AVERAGE(G8)</f>
        <v>476</v>
      </c>
      <c r="H21" s="154">
        <f>AVERAGE(H8)</f>
        <v>394</v>
      </c>
      <c r="I21" s="157"/>
      <c r="J21" s="156">
        <f>(H21/G21-1)*100</f>
        <v>-17.226890756302527</v>
      </c>
      <c r="K21" s="86"/>
      <c r="O21" s="237"/>
      <c r="P21" s="235"/>
      <c r="U21" s="235"/>
      <c r="V21" s="235"/>
      <c r="W21" s="235"/>
      <c r="X21" s="235"/>
      <c r="Y21" s="235"/>
      <c r="Z21" s="235"/>
      <c r="AA21" s="235"/>
      <c r="AB21" s="235"/>
      <c r="AC21" s="235"/>
      <c r="AD21" s="235"/>
      <c r="AE21" s="235"/>
      <c r="AF21" s="235"/>
      <c r="AG21" s="235"/>
    </row>
    <row r="22" spans="2:33" ht="12.75">
      <c r="B22" s="358" t="s">
        <v>185</v>
      </c>
      <c r="C22" s="358"/>
      <c r="D22" s="358"/>
      <c r="E22" s="358"/>
      <c r="F22" s="358"/>
      <c r="G22" s="358"/>
      <c r="H22" s="358"/>
      <c r="I22" s="358"/>
      <c r="J22" s="358"/>
      <c r="K22" s="111"/>
      <c r="O22" s="237"/>
      <c r="P22" s="235"/>
      <c r="U22" s="235"/>
      <c r="V22" s="235"/>
      <c r="W22" s="235"/>
      <c r="X22" s="235"/>
      <c r="Y22" s="235"/>
      <c r="Z22" s="235"/>
      <c r="AA22" s="235"/>
      <c r="AB22" s="235"/>
      <c r="AC22" s="235"/>
      <c r="AD22" s="235"/>
      <c r="AE22" s="235"/>
      <c r="AF22" s="235"/>
      <c r="AG22" s="235"/>
    </row>
    <row r="23" spans="15:34" ht="12.75">
      <c r="O23" s="237"/>
      <c r="P23" s="235"/>
      <c r="T23" s="235"/>
      <c r="U23" s="235"/>
      <c r="V23" s="235"/>
      <c r="W23" s="235"/>
      <c r="X23" s="235"/>
      <c r="Y23" s="235"/>
      <c r="Z23" s="235"/>
      <c r="AA23" s="235"/>
      <c r="AB23" s="235"/>
      <c r="AC23" s="235"/>
      <c r="AD23" s="235"/>
      <c r="AE23" s="235"/>
      <c r="AF23" s="235"/>
      <c r="AG23" s="235"/>
      <c r="AH23" s="235"/>
    </row>
    <row r="24" spans="4:15" ht="12.75">
      <c r="D24" s="140" t="s">
        <v>67</v>
      </c>
      <c r="E24" s="140" t="s">
        <v>68</v>
      </c>
      <c r="O24" s="237"/>
    </row>
    <row r="25" spans="3:34" ht="12.75">
      <c r="C25" s="142">
        <v>42125</v>
      </c>
      <c r="D25" s="141">
        <v>970</v>
      </c>
      <c r="E25" s="141">
        <v>479</v>
      </c>
      <c r="O25" s="237"/>
      <c r="P25" s="235"/>
      <c r="Q25" s="235"/>
      <c r="R25" s="235"/>
      <c r="S25" s="235"/>
      <c r="T25" s="235"/>
      <c r="U25" s="235"/>
      <c r="V25" s="235"/>
      <c r="W25" s="235"/>
      <c r="X25" s="235"/>
      <c r="Y25" s="235"/>
      <c r="Z25" s="235"/>
      <c r="AA25" s="235"/>
      <c r="AB25" s="235"/>
      <c r="AC25" s="235"/>
      <c r="AD25" s="235"/>
      <c r="AE25" s="235"/>
      <c r="AF25" s="235"/>
      <c r="AG25" s="235"/>
      <c r="AH25" s="235"/>
    </row>
    <row r="26" spans="3:34" ht="12.75">
      <c r="C26" s="142">
        <v>42156</v>
      </c>
      <c r="D26" s="141">
        <v>954</v>
      </c>
      <c r="E26" s="141">
        <v>455</v>
      </c>
      <c r="O26" s="237"/>
      <c r="P26" s="235"/>
      <c r="Q26" s="235"/>
      <c r="R26" s="235"/>
      <c r="S26" s="235"/>
      <c r="T26" s="235"/>
      <c r="U26" s="235"/>
      <c r="V26" s="235"/>
      <c r="W26" s="235"/>
      <c r="X26" s="235"/>
      <c r="Y26" s="235"/>
      <c r="Z26" s="235"/>
      <c r="AA26" s="235"/>
      <c r="AB26" s="235"/>
      <c r="AC26" s="235"/>
      <c r="AD26" s="235"/>
      <c r="AE26" s="235"/>
      <c r="AF26" s="235"/>
      <c r="AG26" s="235"/>
      <c r="AH26" s="235"/>
    </row>
    <row r="27" spans="3:34" ht="12.75">
      <c r="C27" s="142">
        <v>42186</v>
      </c>
      <c r="D27" s="141">
        <v>974</v>
      </c>
      <c r="E27" s="141">
        <v>525</v>
      </c>
      <c r="O27" s="237"/>
      <c r="P27" s="235"/>
      <c r="Q27" s="235"/>
      <c r="R27" s="235"/>
      <c r="S27" s="235"/>
      <c r="T27" s="235"/>
      <c r="U27" s="235"/>
      <c r="V27" s="235"/>
      <c r="W27" s="235"/>
      <c r="X27" s="235"/>
      <c r="Y27" s="235"/>
      <c r="Z27" s="235"/>
      <c r="AA27" s="235"/>
      <c r="AB27" s="235"/>
      <c r="AC27" s="235"/>
      <c r="AD27" s="235"/>
      <c r="AE27" s="235"/>
      <c r="AF27" s="235"/>
      <c r="AG27" s="235"/>
      <c r="AH27" s="235"/>
    </row>
    <row r="28" spans="3:34" ht="12.75">
      <c r="C28" s="142">
        <v>42217</v>
      </c>
      <c r="D28" s="141">
        <v>1094</v>
      </c>
      <c r="E28" s="141">
        <v>651</v>
      </c>
      <c r="O28" s="237"/>
      <c r="P28" s="235"/>
      <c r="Q28" s="235"/>
      <c r="R28" s="235"/>
      <c r="S28" s="235"/>
      <c r="T28" s="235"/>
      <c r="U28" s="235"/>
      <c r="V28" s="235"/>
      <c r="W28" s="235"/>
      <c r="X28" s="235"/>
      <c r="Y28" s="235"/>
      <c r="Z28" s="235"/>
      <c r="AA28" s="235"/>
      <c r="AB28" s="235"/>
      <c r="AC28" s="235"/>
      <c r="AD28" s="235"/>
      <c r="AE28" s="235"/>
      <c r="AF28" s="235"/>
      <c r="AG28" s="235"/>
      <c r="AH28" s="235"/>
    </row>
    <row r="29" spans="3:16" ht="12.75">
      <c r="C29" s="142">
        <v>42248</v>
      </c>
      <c r="D29" s="141">
        <v>1299</v>
      </c>
      <c r="E29" s="141">
        <v>624</v>
      </c>
      <c r="O29" s="237"/>
      <c r="P29" s="235"/>
    </row>
    <row r="30" spans="3:16" ht="12.75">
      <c r="C30" s="142">
        <v>42278</v>
      </c>
      <c r="D30" s="141">
        <v>1367</v>
      </c>
      <c r="E30" s="141">
        <v>693</v>
      </c>
      <c r="O30" s="237"/>
      <c r="P30" s="235"/>
    </row>
    <row r="31" spans="3:16" ht="12.75">
      <c r="C31" s="142">
        <v>42309</v>
      </c>
      <c r="D31" s="141">
        <v>1468</v>
      </c>
      <c r="E31" s="141">
        <v>666</v>
      </c>
      <c r="O31" s="237"/>
      <c r="P31" s="235"/>
    </row>
    <row r="32" spans="3:16" ht="12.75">
      <c r="C32" s="142">
        <v>42339</v>
      </c>
      <c r="D32" s="141">
        <v>1490</v>
      </c>
      <c r="E32" s="141">
        <v>563</v>
      </c>
      <c r="O32" s="237"/>
      <c r="P32" s="235"/>
    </row>
    <row r="33" spans="3:16" ht="12.75">
      <c r="C33" s="184">
        <v>42370</v>
      </c>
      <c r="D33" s="53">
        <f>+C8</f>
        <v>1409</v>
      </c>
      <c r="E33" s="53">
        <f>+G8</f>
        <v>476</v>
      </c>
      <c r="O33" s="237"/>
      <c r="P33" s="235"/>
    </row>
    <row r="34" spans="3:16" ht="12.75">
      <c r="C34" s="184">
        <v>42401</v>
      </c>
      <c r="D34" s="53">
        <f aca="true" t="shared" si="1" ref="D34:D44">+C9</f>
        <v>1396</v>
      </c>
      <c r="E34" s="53">
        <f aca="true" t="shared" si="2" ref="E34:E44">+G9</f>
        <v>439</v>
      </c>
      <c r="O34" s="237"/>
      <c r="P34" s="235"/>
    </row>
    <row r="35" spans="3:16" ht="12.75">
      <c r="C35" s="184">
        <v>42430</v>
      </c>
      <c r="D35" s="53">
        <f t="shared" si="1"/>
        <v>1197</v>
      </c>
      <c r="E35" s="53">
        <f t="shared" si="2"/>
        <v>435</v>
      </c>
      <c r="O35" s="237"/>
      <c r="P35" s="235"/>
    </row>
    <row r="36" spans="3:16" ht="12.75">
      <c r="C36" s="184">
        <v>42461</v>
      </c>
      <c r="D36" s="53">
        <f t="shared" si="1"/>
        <v>1117</v>
      </c>
      <c r="E36" s="53">
        <f t="shared" si="2"/>
        <v>470</v>
      </c>
      <c r="O36" s="237"/>
      <c r="P36" s="235"/>
    </row>
    <row r="37" spans="3:16" ht="12.75">
      <c r="C37" s="184">
        <v>42491</v>
      </c>
      <c r="D37" s="53">
        <f t="shared" si="1"/>
        <v>1090</v>
      </c>
      <c r="E37" s="53">
        <f t="shared" si="2"/>
        <v>462</v>
      </c>
      <c r="O37" s="237"/>
      <c r="P37" s="235"/>
    </row>
    <row r="38" spans="3:33" ht="12.75">
      <c r="C38" s="184">
        <v>42522</v>
      </c>
      <c r="D38" s="53">
        <f t="shared" si="1"/>
        <v>1136</v>
      </c>
      <c r="E38" s="53">
        <f t="shared" si="2"/>
        <v>528</v>
      </c>
      <c r="O38" s="237"/>
      <c r="P38" s="235"/>
      <c r="Q38" s="235"/>
      <c r="R38" s="235"/>
      <c r="S38" s="235"/>
      <c r="T38" s="235"/>
      <c r="U38" s="235"/>
      <c r="V38" s="235"/>
      <c r="W38" s="235"/>
      <c r="X38" s="235"/>
      <c r="Y38" s="235"/>
      <c r="Z38" s="235"/>
      <c r="AA38" s="235"/>
      <c r="AB38" s="235"/>
      <c r="AC38" s="235"/>
      <c r="AD38" s="235"/>
      <c r="AE38" s="235"/>
      <c r="AF38" s="235"/>
      <c r="AG38" s="235"/>
    </row>
    <row r="39" spans="3:5" ht="12.75">
      <c r="C39" s="184">
        <v>42552</v>
      </c>
      <c r="D39" s="53">
        <f t="shared" si="1"/>
        <v>1067</v>
      </c>
      <c r="E39" s="53">
        <f t="shared" si="2"/>
        <v>522</v>
      </c>
    </row>
    <row r="40" spans="3:5" ht="12.75">
      <c r="C40" s="184">
        <v>42583</v>
      </c>
      <c r="D40" s="53">
        <f t="shared" si="1"/>
        <v>1043</v>
      </c>
      <c r="E40" s="53">
        <f t="shared" si="2"/>
        <v>537</v>
      </c>
    </row>
    <row r="41" spans="3:5" ht="12.75">
      <c r="C41" s="184">
        <v>42614</v>
      </c>
      <c r="D41" s="53">
        <f t="shared" si="1"/>
        <v>1035</v>
      </c>
      <c r="E41" s="53">
        <f t="shared" si="2"/>
        <v>502</v>
      </c>
    </row>
    <row r="42" spans="3:5" ht="12.75">
      <c r="C42" s="184">
        <v>42644</v>
      </c>
      <c r="D42" s="53">
        <f t="shared" si="1"/>
        <v>1042</v>
      </c>
      <c r="E42" s="53">
        <f t="shared" si="2"/>
        <v>524</v>
      </c>
    </row>
    <row r="43" spans="3:5" ht="12.75">
      <c r="C43" s="184">
        <v>42675</v>
      </c>
      <c r="D43" s="53">
        <f t="shared" si="1"/>
        <v>1130</v>
      </c>
      <c r="E43" s="53">
        <f t="shared" si="2"/>
        <v>477</v>
      </c>
    </row>
    <row r="44" spans="3:5" ht="12.75">
      <c r="C44" s="184">
        <v>42705</v>
      </c>
      <c r="D44" s="53">
        <f t="shared" si="1"/>
        <v>1082</v>
      </c>
      <c r="E44" s="53">
        <f t="shared" si="2"/>
        <v>386</v>
      </c>
    </row>
    <row r="45" spans="2:5" ht="12.75">
      <c r="B45" s="51"/>
      <c r="C45" s="184">
        <v>42736</v>
      </c>
      <c r="D45" s="53">
        <f>+D8</f>
        <v>1091</v>
      </c>
      <c r="E45" s="53">
        <f>+H8</f>
        <v>394</v>
      </c>
    </row>
    <row r="46" ht="12.75">
      <c r="E46" s="53"/>
    </row>
  </sheetData>
  <sheetProtection/>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1" r:id="rId2"/>
  <headerFooter differentFirst="1">
    <oddFooter>&amp;C&amp;P</oddFooter>
  </headerFooter>
  <ignoredErrors>
    <ignoredError sqref="C20 E20:G20 D20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2016-09-08T15:08:22Z</cp:lastPrinted>
  <dcterms:created xsi:type="dcterms:W3CDTF">2011-10-13T14:46:36Z</dcterms:created>
  <dcterms:modified xsi:type="dcterms:W3CDTF">2017-02-20T15:55:08Z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