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4000" windowHeight="9660"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s>
  <definedNames>
    <definedName name="_xlnm.Print_Area" localSheetId="1">'colofón'!$A$1:$I$39</definedName>
    <definedName name="_xlnm.Print_Area" localSheetId="4">'Comentarios'!$B$2:$L$10</definedName>
    <definedName name="_xlnm.Print_Area" localSheetId="15">'export'!$B$2:$K$45</definedName>
    <definedName name="_xlnm.Print_Area" localSheetId="14">'Ficha de Costos'!$B$2:$E$34</definedName>
    <definedName name="_xlnm.Print_Area" localSheetId="16">'import'!$B$2:$K$105</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minorista'!$B$2:$J$45</definedName>
    <definedName name="_xlnm.Print_Area" localSheetId="9">'precio minorista regiones'!$B$2:$R$56</definedName>
    <definedName name="_xlnm.Print_Area" localSheetId="12">'prod región'!$B$2:$L$49</definedName>
    <definedName name="_xlnm.Print_Area" localSheetId="13">'rend región'!$B$2:$L$47</definedName>
    <definedName name="_xlnm.Print_Area" localSheetId="11">'sup región'!$B$2:$L$47</definedName>
    <definedName name="_xlnm.Print_Area" localSheetId="10">'sup, prod y rend'!$B$2:$G$51</definedName>
    <definedName name="TDclase">'[1]TD clase'!$A$5:$G$6</definedName>
  </definedNames>
  <calcPr fullCalcOnLoad="1"/>
</workbook>
</file>

<file path=xl/sharedStrings.xml><?xml version="1.0" encoding="utf-8"?>
<sst xmlns="http://schemas.openxmlformats.org/spreadsheetml/2006/main" count="608" uniqueCount="285">
  <si>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</si>
  <si>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</si>
  <si>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</si>
  <si>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</si>
  <si>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</si>
  <si>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</si>
  <si>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</si>
  <si>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</si>
  <si>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</si>
  <si>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</si>
  <si>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</si>
  <si>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</si>
  <si>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</si>
  <si>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</si>
  <si>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</si>
  <si>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</si>
  <si>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</si>
  <si>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</si>
  <si>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</si>
  <si>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</si>
  <si>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</si>
  <si>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</si>
  <si>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</si>
  <si>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</si>
  <si>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</si>
  <si>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</si>
  <si>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</si>
  <si>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</si>
  <si>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</si>
  <si>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</si>
  <si>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</si>
  <si>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</si>
  <si>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</si>
  <si>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</si>
  <si>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</si>
  <si>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</si>
  <si>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</si>
  <si>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</si>
  <si>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</si>
  <si>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</si>
  <si>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</si>
  <si>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</si>
  <si>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</si>
  <si>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</si>
  <si>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</si>
  <si>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</si>
  <si>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</si>
  <si>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</si>
  <si>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</si>
  <si>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</si>
  <si>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</si>
  <si>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</si>
  <si>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</si>
  <si>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</si>
  <si>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</si>
  <si>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</si>
  <si>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</si>
  <si>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</si>
  <si>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</si>
  <si>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</si>
  <si>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</si>
  <si>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</si>
  <si>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</si>
  <si>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</si>
  <si>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</si>
  <si>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</si>
  <si>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</si>
  <si>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</si>
  <si>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</si>
  <si>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</si>
  <si>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</si>
  <si>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</si>
  <si>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</si>
  <si>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</si>
  <si>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</si>
  <si>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</si>
  <si>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</si>
  <si>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</si>
  <si>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</si>
  <si>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</si>
  <si>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</si>
  <si>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</si>
  <si>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</si>
  <si>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</si>
  <si>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</si>
  <si>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</si>
  <si>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</si>
  <si>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</si>
  <si>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</si>
  <si>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</si>
  <si>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</si>
  <si>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</si>
  <si>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</si>
  <si>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</si>
  <si>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</si>
  <si>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</si>
  <si>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</si>
  <si>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</si>
  <si>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</si>
  <si>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</si>
  <si>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</si>
  <si>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</si>
  <si>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</si>
  <si>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</si>
  <si>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</si>
  <si>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</si>
  <si>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</si>
  <si>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</si>
  <si>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</si>
  <si>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</si>
  <si>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</si>
  <si>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</si>
  <si>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</si>
  <si>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</si>
  <si>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</si>
  <si>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</si>
  <si>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</si>
  <si>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</si>
  <si>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</si>
  <si>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</si>
  <si>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</si>
  <si>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</si>
  <si>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</si>
  <si>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</si>
  <si>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</si>
  <si>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</si>
  <si>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</si>
  <si>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</si>
  <si>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</si>
  <si>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</si>
  <si>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</si>
  <si>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r>
      <rPr>
        <i/>
        <sz val="9"/>
        <rFont val="Arial"/>
        <family val="2"/>
      </rPr>
      <t>Fuente</t>
    </r>
    <r>
      <rPr>
        <sz val="9"/>
        <rFont val="Arial"/>
        <family val="2"/>
      </rPr>
      <t>: elaborado por Odepa con información del INE.</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</si>
  <si>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</si>
  <si>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</si>
  <si>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</si>
  <si>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</si>
  <si>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</si>
  <si>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</si>
  <si>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</si>
  <si>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</si>
  <si>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</si>
  <si>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</si>
  <si>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</si>
  <si>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</si>
  <si>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</si>
  <si>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</si>
  <si>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</si>
  <si>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</si>
  <si>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</si>
  <si>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</si>
  <si>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</si>
  <si>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</si>
  <si>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</si>
  <si>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</si>
  <si>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</si>
  <si>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</si>
  <si>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</si>
  <si>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</si>
  <si>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</si>
  <si>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</si>
  <si>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</si>
  <si>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</si>
  <si>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</si>
  <si>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</si>
  <si>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</si>
  <si>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</si>
  <si>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</si>
  <si>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</si>
  <si>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</si>
  <si>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</si>
  <si>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</si>
  <si>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</si>
  <si>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</si>
  <si>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</si>
  <si>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</si>
  <si>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</si>
  <si>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</si>
  <si>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</si>
  <si>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Rusia</t>
  </si>
  <si>
    <r>
      <rPr>
        <i/>
        <sz val="9"/>
        <color indexed="8"/>
        <rFont val="Arial"/>
        <family val="2"/>
      </rPr>
      <t>Fuente</t>
    </r>
    <r>
      <rPr>
        <sz val="9"/>
        <color indexed="8"/>
        <rFont val="Arial"/>
        <family val="2"/>
      </rPr>
      <t>: Odepa.</t>
    </r>
  </si>
  <si>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</si>
  <si>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</si>
  <si>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</si>
  <si>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</si>
  <si>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</si>
  <si>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</si>
  <si>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</si>
  <si>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</si>
  <si>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</si>
  <si>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</si>
  <si>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</si>
  <si>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</si>
  <si>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</si>
  <si>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</si>
  <si>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</si>
  <si>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</si>
  <si>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</si>
  <si>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</si>
  <si>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</si>
  <si>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</si>
  <si>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</si>
  <si>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</si>
  <si>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</si>
  <si>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</si>
  <si>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</si>
  <si>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</si>
  <si>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</si>
  <si>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</si>
  <si>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</si>
  <si>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</si>
  <si>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</si>
  <si>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</si>
  <si>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</si>
  <si>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</si>
  <si>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</si>
  <si>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</si>
  <si>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</si>
  <si>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</si>
  <si>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</si>
  <si>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</si>
  <si>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</si>
  <si>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</si>
  <si>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</si>
  <si>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</si>
  <si>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</si>
  <si>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</si>
  <si>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</si>
  <si>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</si>
  <si>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</si>
  <si>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</si>
  <si>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</si>
  <si>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</si>
  <si>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</si>
  <si>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Holanda</t>
  </si>
  <si>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</si>
  <si>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</si>
  <si>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</si>
  <si>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 xml:space="preserve"> </t>
  </si>
  <si>
    <r>
      <rPr>
        <i/>
        <sz val="10"/>
        <rFont val="Arial"/>
        <family val="2"/>
      </rPr>
      <t>Fuente</t>
    </r>
    <r>
      <rPr>
        <sz val="10"/>
        <rFont val="Arial"/>
        <family val="2"/>
      </rPr>
      <t xml:space="preserve">: elaborado por Odepa con información del INE. </t>
    </r>
  </si>
  <si>
    <r>
      <rPr>
        <i/>
        <sz val="10"/>
        <rFont val="Arial"/>
        <family val="2"/>
      </rPr>
      <t>Fuente</t>
    </r>
    <r>
      <rPr>
        <sz val="10"/>
        <rFont val="Arial"/>
        <family val="2"/>
      </rPr>
      <t>: elaborado por Odepa con información del INE.</t>
    </r>
  </si>
  <si>
    <r>
      <t xml:space="preserve">Fuente: </t>
    </r>
    <r>
      <rPr>
        <sz val="10"/>
        <rFont val="Arial"/>
        <family val="2"/>
      </rPr>
      <t>elaborado por Odepa con información del INE.</t>
    </r>
  </si>
  <si>
    <t>2016</t>
  </si>
  <si>
    <t>diff Vol</t>
  </si>
  <si>
    <t>diff $</t>
  </si>
  <si>
    <t>Px 2017</t>
  </si>
  <si>
    <t>($ nominales sin IVA / kilo)</t>
  </si>
  <si>
    <t xml:space="preserve">Promedio anual </t>
  </si>
  <si>
    <t>Promedio a la fecha</t>
  </si>
  <si>
    <r>
      <rPr>
        <i/>
        <sz val="10"/>
        <rFont val="Arial"/>
        <family val="2"/>
      </rPr>
      <t>Fuente</t>
    </r>
    <r>
      <rPr>
        <sz val="10"/>
        <rFont val="Arial"/>
        <family val="2"/>
      </rPr>
      <t>: 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r>
  </si>
  <si>
    <t>2016/17</t>
  </si>
  <si>
    <t>variación interanual</t>
  </si>
  <si>
    <r>
      <rPr>
        <i/>
        <sz val="10"/>
        <rFont val="Arial"/>
        <family val="2"/>
      </rPr>
      <t xml:space="preserve">Fuente: </t>
    </r>
    <r>
      <rPr>
        <sz val="10"/>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corresponde a un promedio entre los precios mínimos y máximos ponderados por el volumen del producto arribado.</t>
    </r>
  </si>
  <si>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</si>
  <si>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</si>
  <si>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</si>
  <si>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</si>
  <si>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Vega Central Mapocho Santiago</t>
  </si>
  <si>
    <t>variación (%)</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</si>
  <si>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</si>
  <si>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Monalisa</t>
  </si>
  <si>
    <t>($ / kilo nominales con IVA)</t>
  </si>
  <si>
    <t>Turquía</t>
  </si>
  <si>
    <t>India</t>
  </si>
  <si>
    <t>Origen o destino no precisado</t>
  </si>
  <si>
    <t>Promedio nacional</t>
  </si>
  <si>
    <t>Promedio Nacional</t>
  </si>
  <si>
    <t>2017/18*</t>
  </si>
  <si>
    <t>Pukará - Inia</t>
  </si>
  <si>
    <t>Patagonia - Inia</t>
  </si>
  <si>
    <t>($ nominales sin IVA / 25 kilos)</t>
  </si>
  <si>
    <r>
      <t xml:space="preserve">Región del Biobío
</t>
    </r>
    <r>
      <rPr>
        <sz val="10"/>
        <rFont val="Arial"/>
        <family val="2"/>
      </rPr>
      <t>Variedad Patagonia
Papa Guarda</t>
    </r>
  </si>
  <si>
    <r>
      <rPr>
        <b/>
        <sz val="10"/>
        <color indexed="8"/>
        <rFont val="Arial"/>
        <family val="2"/>
      </rPr>
      <t>Región de O'Higgins</t>
    </r>
    <r>
      <rPr>
        <sz val="10"/>
        <color indexed="8"/>
        <rFont val="Arial"/>
        <family val="2"/>
      </rPr>
      <t xml:space="preserve">
Variedad Pukará</t>
    </r>
  </si>
  <si>
    <t>Fecha de publicación: 2015 Region Metropolitana, 2016 Región Biobío, 2017 Región O'Higgins</t>
  </si>
  <si>
    <t>*: La superficie corresponde al estudio de Intenciones de Siembra de octubre 2017, para el año agrícola 2017/18. Este valor puede diferir por aproximación decimal en el cálculo. Para calcular la producción estimada para la temporada 2017/18, se utiliza un promedio de rendimiento de las dos temporadas anteriores, datos estimativos preliminares.</t>
  </si>
  <si>
    <r>
      <t xml:space="preserve">3. </t>
    </r>
    <r>
      <rPr>
        <u val="single"/>
        <sz val="10"/>
        <rFont val="Arial"/>
        <family val="2"/>
      </rPr>
      <t>Superficie, producción y rendimiento</t>
    </r>
    <r>
      <rPr>
        <sz val="10"/>
        <rFont val="Arial"/>
        <family val="2"/>
      </rPr>
      <t>: superficie y producción nacional disminuirían en la siguiente temporada. 
El estudio de INE sobre Intenciones de Siembra de octubre 2017, para el año agrícola 2017/18 indica que en Chile la superficie sembrada con papas bordeará 47.250 hectáreas, lo que representa una disminución de 12,6% en la superficie nacional para la papa en comparación con la temporada 2016/17. Esta cifra preliminar podría explicarse por la baja en los precios que experimentaron los productores en la temporada 2016/17, lo que desincentiva la producción de papa para varios productores. El rendimiento se ha estimado, como un promedio de los rendimientos de las últimas dos temporadas, aproximadamente 24 toneladas por hectárea. Con estos valores, se estima que la producción total de papa para la temporada 2017/18 alcanzaría 1,14 millones de toneladas, disminuyendo 20% en relación con el volumen estimado de papa producida la temporada recién pasada (cuadro 6 y gráfico 7).
Según la distribución regional de la superficie en 2016/17, la Región de La Araucanía nuevamente se presenta como la principal región con papas a nivel nacional, con 13.886 hectáreas, concentrando 26% del total de la superficie nacional encuestada. Esta región disminuyó 7% la superficie de papas, en comparación con la temporada anterior. La siguieron en importancia la Región de Los Lagos, con 11.022 hectáreas (representando 20% del total de la superficie nacional), y la Región del Biobío, con 9.892 hectáreas (ocupando 18% del total de la superficie de papa). Al sumar la región de Los Ríos a las tres regiones mencionadas anteriormente, se puede afirmar que la zona sur concentra 72% del total de la superficie de papa nacional. 
En cuanto a los rendimientos en 2016/17, éstos se registran más altos en la zona sur de Chile, donde se concentra el mayor porcentaje de superficie sembrada con papas. La región de los Lagos lidera con 43 ton/ha de rendimiento promedio regional. En la mayoría de las regiones se observa una recuperación de los rendimientos medios (a excepción de Metropolitana y Valparaíso). Esta recuperación de los rendimientos es producto de situaciones climáticas más favorables para el desarrollo del cultivo durante esta temporada (cuadros 8 y 9).
Es importante recordar que está vigente la resolución del SAG n°3276 de 2016, en la cual se informa sobre el Área Libre de plagas cuarentenarias - la cual comprende la provincia de Arauco en la Región del Bío Bío, y el territorio insular y continental de las regiones de La Araucanía, de Los Ríos, de Aysén, y de Magallanes - y además actualiza las disposiciones relativas a evitar la diseminación de estas plagas cuarentenarias hacia esta área, como por ejemplo la obligatoriedad de inscribirse en la Nómina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</si>
  <si>
    <t>Enero 2018</t>
  </si>
  <si>
    <r>
      <t>Información de mercado nacional y comercio exterior hasta diciembre</t>
    </r>
    <r>
      <rPr>
        <sz val="11"/>
        <color indexed="8"/>
        <rFont val="Arial"/>
        <family val="2"/>
      </rPr>
      <t xml:space="preserve"> de 2017</t>
    </r>
  </si>
  <si>
    <t xml:space="preserve">  Karú -
Inia</t>
  </si>
  <si>
    <r>
      <t>(3) El precio de la papa utilizado corresponde al precio promedio mayorista regional durante</t>
    </r>
    <r>
      <rPr>
        <sz val="10"/>
        <color indexed="10"/>
        <rFont val="Arial"/>
        <family val="2"/>
      </rPr>
      <t xml:space="preserve"> diciembre</t>
    </r>
    <r>
      <rPr>
        <sz val="10"/>
        <color indexed="8"/>
        <rFont val="Arial"/>
        <family val="2"/>
      </rPr>
      <t xml:space="preserve"> </t>
    </r>
    <r>
      <rPr>
        <sz val="10"/>
        <color indexed="8"/>
        <rFont val="Arial"/>
        <family val="2"/>
      </rPr>
      <t>de 2017.</t>
    </r>
  </si>
  <si>
    <t>ene-dic 2016</t>
  </si>
  <si>
    <t>ene-dic 2017</t>
  </si>
  <si>
    <r>
      <t xml:space="preserve">1. </t>
    </r>
    <r>
      <rPr>
        <u val="single"/>
        <sz val="10"/>
        <rFont val="Arial"/>
        <family val="2"/>
      </rPr>
      <t>Precios de la papa en mercados mayoristas</t>
    </r>
    <r>
      <rPr>
        <sz val="10"/>
        <rFont val="Arial"/>
        <family val="2"/>
      </rPr>
      <t>: precios medios recuperándose al alza.
El precio promedio ponderado mensual de la papa en los mercados mayoristas durante diciembre 2017 fue $284 por kilo, valor 24% superior al del mes anterior y 106% superior al del mismo mes en el año 2016 (cuadro 1 y gráfico 1). Se observa una fuerte recuperación de los precios al alza, destacando este mes como el que registra el mayor precio del año 2017, además de ser este mes, junto con noviembre, los únicos en el año que – comparado con el año 2016 – registran una variación positiva, en contraposición a lo que normalmente ocurre en este mes, en que los precios vienen disminuyendo, producto del aumento de la oferta de papa.
A partir de noviembre 2017, el boletín de la papa reporta precios por saco en formato de 25 kg, conforme a lo estipulado en la Ley N°20.949, o popularmente llamada “ley del saco”. El precio promedio diario para el saco de 25 kilos, en los mercados mayoristas, registra un alza sostenida en diciembre ($7.277), la que comenzó en octubre ($3.720) y se mantuvo en noviembre ($5.697). En el período, el precio más alto registrado ocurrió el 21 y 22 de diciembre, donde el precio medio superó lo $8.000 pesos por saco (gráfico 2 y cuadro 2). La variedad con precio promedio por saco más alto en diciembre 2017 fue Cardinal, (en promedio $7.390, 29% más que el precio promedio nacional). Patagonia en cambio presentó el precio más bajo (en promedio $5.841, un 20% menos que el precio promedio nacional). 
El análisis de precios por mercado regional también da cuenta de alzas en los precios, entre noviembre y diciembre de este año. Arica destaca una vez más por ser el mercado que muestra los precios más altos comparado con todos los otros mercados nacionales donde Odepa registra precios. En diciembre 2017 ese mercado registró un precio promedio de $12.628 el saco de 25 kilos, representando un precio 74% más alto que el promedio nacional. Por otro lado, Talca y Concepción registraron los precios medios más bajo de diciembre, $5.772 y $5.828, lo que representa respectivamente 21% y 20% menos que el promedio nacional (cuadro 3 y gráfico 3). El anterior análisis guardaría cierta relación entre la distancia de los centros de distribución con la producción y sus volúmenes.</t>
    </r>
  </si>
  <si>
    <r>
      <t xml:space="preserve">2. </t>
    </r>
    <r>
      <rPr>
        <u val="single"/>
        <sz val="10"/>
        <rFont val="Arial"/>
        <family val="2"/>
      </rPr>
      <t>Precio de la papa en mercados minoristas</t>
    </r>
    <r>
      <rPr>
        <sz val="10"/>
        <rFont val="Arial"/>
        <family val="2"/>
      </rPr>
      <t xml:space="preserve">: precios al consumidor suben lentamente. 
En el monitoreo de precios al consumidor que realiza Odepa en la ciudad de Santiago, se observó que el precio promedio mensual de diciembre 2017 en supermercado es $1.018 por kilo, 6,4% superior al mes anterior, y 6% inferior comparado con el mismo mes del año anterior. En ferias el precio medio para diciembre fue $516 por kilo, siendo este precio 17% mayor en relación al mes anterior, y 33,7% superior en relación al mismo mes del año 2016. Como siempre, los precios son más altos en supermercados que en ferias. Este mes, los precios en supermercado son 97% más alto que en ferias libre, siendo esta la menor diferencia entre supermercado y feria libre registrada en el año (cuadro 4 y gráfico 4). Se observa en el gráfico 4 que existe una similitud en el comportamiento de las variaciones de los precios entre mayorista, ferias libres y supermercados, lo que hace suponer que existe una transmisión de precios entre los diferentes mercados, a excepción de octubre 2017 en que el precio de supermercado no sigue la misma tendencia alcista que ferias libres y mayoristas.
Respecto a los precios al consumidor que Odepa recoge entre las regiones de Arica y Los Lagos, se observa que éstos son erráticos entre semanas. Además, en supermercados los precios son superiores a los de las ferias libres. Al comparar los precios promedios semanales entre agosto y diciembre 2017, entre ferias y supermercados, por región, se observa que la menor diferencia de precios en los últimos cinco meses se presentó en la Región de Arica, donde el promedio de precios en supermercados ($1.013) fue 93% más caro que en ferias ($525). Por otra parte, la mayor diferencia de precios entre supermercados y ferias libres se registró en la Región del Biobío, donde el promedio de precios en supermercado ($963) fue 218% más caro que en ferias libres ($303). El promedio de precios más alto en supermercado se registró en Arica ($1.013 pesos por kilo), y el más bajo en la Región de La Araucanía ($847 pesos por kilo). En ferias libres, el promedio de precios más alto se registró en Arica ($525 pesos por kilo), y el más bajo en Biobío ($303 pesos por kilo). Destaca la fuerte alza registrada en Los Lagos la semana del 4 de diciembre, en ferias libres (cuadro 5, gráficos 5 y 6). </t>
    </r>
  </si>
  <si>
    <r>
      <t xml:space="preserve">4. </t>
    </r>
    <r>
      <rPr>
        <u val="single"/>
        <sz val="10"/>
        <rFont val="Arial"/>
        <family val="2"/>
      </rPr>
      <t>Ficha de Costos</t>
    </r>
    <r>
      <rPr>
        <sz val="10"/>
        <rFont val="Arial"/>
        <family val="2"/>
      </rPr>
      <t xml:space="preserve">: Márgenes positivos por recuperación positiva de precios.
Odepa lleva un registro de fichas de costos de varios rubros, lo que permite analizar los costos asociados al desarrollo del cultivo, y los ingresos promedios que éstos generan para el productor. 
Para este mes, el análisis de margen neto entrega valores positivos en las regiones que cuentan con análisis de fichas de costos, incluso en escenarios de bajo rendimiento y precio. En el análisis de sensibilidad (cuadro 10) se puede revisar los precios que permiten alcanzar ingresos rentables del cultivo. El punto de equilibrio para este mes, en la Región Metropolitana, se alcanzaría en $145 por kilo para un rendimiento de 25 ton/ha.
Los valores son referenciales. Para mayor información y detalle del cálculo, revisar www.odepa.cl/rubro/papas-y-tuberculos.
Además, en el siguiente link encontrará una ficha técnico-económica interactiva que le permitirá estimar los costos de producción: http://manualinia.papachile.cl/?page=login </t>
    </r>
  </si>
  <si>
    <r>
      <t xml:space="preserve">5. </t>
    </r>
    <r>
      <rPr>
        <u val="single"/>
        <sz val="10"/>
        <rFont val="Arial"/>
        <family val="2"/>
      </rPr>
      <t>Comercio exterior papa fresca y procesada</t>
    </r>
    <r>
      <rPr>
        <sz val="10"/>
        <rFont val="Arial"/>
        <family val="2"/>
      </rPr>
      <t>: alza de envíos de papas procesadas y fresca hacia Argentina, y por el contrario disminuyen los envíos desde Argentina hacia Chile.
La balanza comercial de 2017 de los productos derivados de papa es, como siempre, negativa, con importaciones muy superiores a las ventas al exterior (cuadros 11 y 12).
En 2017 las exportaciones sumaron USD 9,72 millones, cifra 50% superior a la registrada en el mismo período del año anterior. En volumen, se exportaron cerca de 10.700 toneladas, 134% más que en el mismo período del año 2016. Esta fuerte alza de envíos se debe a un alto volumen de papa producida en Chile, que fue enviada mayoritariamente a Argentina, destacando el alza en  volumen de los envíos a ese país en papa fresca, y en valor destaca la papa preparada sin congelar hacia el mismo destino. 
Las importaciones sumaron USD 103,9 millones y 109.500 toneladas en 2017, lo que representa un alza en valor de 5,4% y en volumen de 2% en comparación con igual período del año anterior. Las papas preparadas congeladas son la principal categoría comprada por Chile, representando 79% del total de las compras de papas. En esa categoría destaca fuertemente Bélgica como principal exportador a Chile, concentrando 50% del total de compras en esa categoría. Junto con Países Bajos, Argentina y Alemania concentran 97% del total de compras de esa categoría para el período de análisis. Bélgica además presenta en el año 2017 el mayor aumento en ventas y en volumen hacia Chile en comparación con igual período del año 2016. Argentina en cambio, registra en el mismo período la baja más destacada en valor y volumen en papas preparadas congeladas enviadas a Chile, en comparación con 2016.</t>
    </r>
  </si>
</sst>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_ * #,##0_ ;_ * \-#,##0_ ;_ * &quot;-&quot;_ ;_ @_ "/>
    <numFmt numFmtId="167" formatCode="_ * #,##0.00_ ;_ * \-#,##0.00_ ;_ * &quot;-&quot;??_ ;_ @_ "/>
    <numFmt numFmtId="168" formatCode="_-* #,##0.00\ _€_-;\-* #,##0.00\ _€_-;_-* &quot;-&quot;??\ _€_-;_-@_-"/>
    <numFmt numFmtId="169" formatCode="_(* #,##0_);_(* \(#,##0\);_(* &quot;-&quot;_);_(@_)"/>
    <numFmt numFmtId="170" formatCode="0.0"/>
    <numFmt numFmtId="171" formatCode="#,##0.0"/>
    <numFmt numFmtId="172" formatCode="_(* #,##0.00_);_(* \(#,##0.00\);_(* &quot;-&quot;??_);_(@_)"/>
    <numFmt numFmtId="173" formatCode="_(* #,##0_);_(* \(#,##0\);_(* &quot;-&quot;??_);_(@_)"/>
    <numFmt numFmtId="174" formatCode="_(* #,##0.0000_);_(* \(#,##0.0000\);_(* &quot;-&quot;_);_(@_)"/>
    <numFmt numFmtId="175" formatCode="_-* #,##0.000\ _€_-;\-* #,##0.000\ _€_-;_-* &quot;-&quot;?\ _€_-;_-@_-"/>
    <numFmt numFmtId="176" formatCode="dd/mm/yy;@"/>
    <numFmt numFmtId="177" formatCode="0.0%"/>
    <numFmt numFmtId="178" formatCode="_-* #,##0.000\ _€_-;\-* #,##0.000\ _€_-;_-* &quot;-&quot;???\ _€_-;_-@_-"/>
    <numFmt numFmtId="179" formatCode="#,##0_ ;\-#,##0\ "/>
    <numFmt numFmtId="180" formatCode="#,##0.0_ ;\-#,##0.0\ "/>
    <numFmt numFmtId="181" formatCode="dd/mm"/>
  </numFmts>
  <fonts count="129">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b/>
      <sz val="11"/>
      <color indexed="8"/>
      <name val="Arial"/>
      <family val="2"/>
    </font>
    <font>
      <b/>
      <sz val="12"/>
      <color indexed="8"/>
      <name val="Verdana"/>
      <family val="2"/>
    </font>
    <font>
      <u val="single"/>
      <sz val="10"/>
      <color indexed="10"/>
      <name val="Arial"/>
      <family val="2"/>
    </font>
    <font>
      <b/>
      <sz val="12"/>
      <color indexed="8"/>
      <name val="Arial"/>
      <family val="2"/>
    </font>
    <font>
      <sz val="10"/>
      <color indexed="10"/>
      <name val="Calibri"/>
      <family val="2"/>
    </font>
    <font>
      <b/>
      <sz val="10"/>
      <color indexed="10"/>
      <name val="Arial"/>
      <family val="2"/>
    </font>
    <font>
      <i/>
      <sz val="10"/>
      <color indexed="10"/>
      <name val="Arial"/>
      <family val="2"/>
    </font>
    <font>
      <u val="single"/>
      <sz val="11"/>
      <color indexed="20"/>
      <name val="Calibri"/>
      <family val="2"/>
    </font>
    <font>
      <u val="single"/>
      <sz val="10"/>
      <color indexed="30"/>
      <name val="Arial"/>
      <family val="2"/>
    </font>
    <font>
      <u val="single"/>
      <sz val="10"/>
      <color indexed="9"/>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b/>
      <sz val="12"/>
      <color indexed="8"/>
      <name val="Calibri"/>
      <family val="0"/>
    </font>
    <font>
      <sz val="10"/>
      <color indexed="25"/>
      <name val="Arial"/>
      <family val="0"/>
    </font>
    <font>
      <sz val="9.2"/>
      <color indexed="25"/>
      <name val="Arial"/>
      <family val="0"/>
    </font>
    <font>
      <sz val="9.2"/>
      <color indexed="62"/>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rgb="FFFF0000"/>
      <name val="Arial"/>
      <family val="2"/>
    </font>
    <font>
      <i/>
      <sz val="10"/>
      <color rgb="FFFF0000"/>
      <name val="Arial"/>
      <family val="2"/>
    </font>
    <font>
      <u val="single"/>
      <sz val="10"/>
      <color rgb="FF0033CC"/>
      <name val="Arial"/>
      <family val="2"/>
    </font>
    <font>
      <b/>
      <sz val="10"/>
      <color theme="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1" tint="0.49998000264167786"/>
      </top>
      <bottom/>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style="thin"/>
      <top style="thin"/>
      <bottom/>
    </border>
    <border>
      <left style="thin"/>
      <right style="thin"/>
      <top style="thin"/>
      <bottom style="thin"/>
    </border>
    <border>
      <left style="thin"/>
      <right/>
      <top/>
      <bottom style="thin"/>
    </border>
    <border>
      <left/>
      <right style="thin"/>
      <top/>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right/>
      <top style="thin">
        <color theme="1" tint="0.49998000264167786"/>
      </top>
      <bottom style="thin">
        <color theme="1" tint="0.34999001026153564"/>
      </bottom>
    </border>
    <border>
      <left style="thin"/>
      <right/>
      <top style="thin"/>
      <bottom style="thin">
        <color theme="0" tint="-0.1499900072813034"/>
      </bottom>
    </border>
    <border>
      <left/>
      <right style="thin"/>
      <top style="thin"/>
      <bottom style="thin">
        <color theme="0" tint="-0.1499900072813034"/>
      </bottom>
    </border>
    <border>
      <left style="thin"/>
      <right/>
      <top style="thin">
        <color theme="0" tint="-0.1499900072813034"/>
      </top>
      <bottom style="thin">
        <color theme="0" tint="-0.1499900072813034"/>
      </bottom>
    </border>
    <border>
      <left/>
      <right style="thin"/>
      <top style="thin">
        <color theme="0" tint="-0.1499900072813034"/>
      </top>
      <bottom style="thin">
        <color theme="0" tint="-0.1499900072813034"/>
      </bottom>
    </border>
    <border>
      <left style="thin"/>
      <right/>
      <top style="thin">
        <color theme="0" tint="-0.1499900072813034"/>
      </top>
      <bottom style="thin"/>
    </border>
    <border>
      <left/>
      <right/>
      <top style="thin">
        <color theme="0" tint="-0.1499900072813034"/>
      </top>
      <bottom style="thin"/>
    </border>
    <border>
      <left/>
      <right style="thin"/>
      <top style="thin">
        <color theme="0" tint="-0.1499900072813034"/>
      </top>
      <bottom style="thin"/>
    </border>
    <border>
      <left style="thin"/>
      <right style="thin"/>
      <top style="thin"/>
      <bottom style="thin">
        <color theme="0" tint="-0.1499900072813034"/>
      </bottom>
    </border>
    <border>
      <left style="thin"/>
      <right style="thin"/>
      <top style="thin">
        <color theme="0" tint="-0.1499900072813034"/>
      </top>
      <bottom style="thin">
        <color theme="0" tint="-0.1499900072813034"/>
      </bottom>
    </border>
    <border>
      <left style="thin"/>
      <right style="thin"/>
      <top style="thin">
        <color theme="0" tint="-0.1499900072813034"/>
      </top>
      <bottom style="thin"/>
    </border>
    <border>
      <left style="thin"/>
      <right/>
      <top style="thin"/>
      <bottom style="thin">
        <color theme="0" tint="-0.24997000396251678"/>
      </bottom>
    </border>
    <border>
      <left/>
      <right/>
      <top style="thin"/>
      <bottom style="thin">
        <color theme="0" tint="-0.24997000396251678"/>
      </bottom>
    </border>
    <border>
      <left/>
      <right style="thin"/>
      <top style="thin"/>
      <bottom style="thin">
        <color theme="0" tint="-0.24997000396251678"/>
      </bottom>
    </border>
    <border>
      <left style="thin"/>
      <right/>
      <top/>
      <bottom style="thin">
        <color theme="0" tint="-0.24997000396251678"/>
      </bottom>
    </border>
    <border>
      <left/>
      <right/>
      <top/>
      <bottom style="thin">
        <color theme="0" tint="-0.24997000396251678"/>
      </bottom>
    </border>
    <border>
      <left/>
      <right style="thin"/>
      <top/>
      <bottom style="thin">
        <color theme="0" tint="-0.24997000396251678"/>
      </bottom>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4" borderId="0" applyNumberFormat="0" applyBorder="0" applyAlignment="0" applyProtection="0"/>
    <xf numFmtId="0" fontId="83" fillId="24" borderId="0" applyNumberFormat="0" applyBorder="0" applyAlignment="0" applyProtection="0"/>
    <xf numFmtId="0" fontId="8" fillId="25"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 fillId="1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 fillId="19"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28" borderId="0" applyNumberFormat="0" applyBorder="0" applyAlignment="0" applyProtection="0"/>
    <xf numFmtId="0" fontId="83" fillId="28" borderId="0" applyNumberFormat="0" applyBorder="0" applyAlignment="0" applyProtection="0"/>
    <xf numFmtId="0" fontId="8" fillId="29"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 fillId="31"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83" fillId="32" borderId="0" applyNumberFormat="0" applyBorder="0" applyAlignment="0" applyProtection="0"/>
    <xf numFmtId="0" fontId="8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4" fillId="34" borderId="0" applyNumberFormat="0" applyBorder="0" applyAlignment="0" applyProtection="0"/>
    <xf numFmtId="0" fontId="9" fillId="7" borderId="0" applyNumberFormat="0" applyBorder="0" applyAlignment="0" applyProtection="0"/>
    <xf numFmtId="0" fontId="84" fillId="34" borderId="0" applyNumberFormat="0" applyBorder="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5" fillId="35" borderId="1" applyNumberFormat="0" applyAlignment="0" applyProtection="0"/>
    <xf numFmtId="0" fontId="85" fillId="35" borderId="1" applyNumberFormat="0" applyAlignment="0" applyProtection="0"/>
    <xf numFmtId="0" fontId="10" fillId="36" borderId="2"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6" fillId="37" borderId="3" applyNumberFormat="0" applyAlignment="0" applyProtection="0"/>
    <xf numFmtId="0" fontId="86" fillId="37" borderId="3" applyNumberFormat="0" applyAlignment="0" applyProtection="0"/>
    <xf numFmtId="0" fontId="11" fillId="38" borderId="4" applyNumberFormat="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7" fillId="0" borderId="5" applyNumberFormat="0" applyFill="0" applyAlignment="0" applyProtection="0"/>
    <xf numFmtId="0" fontId="87" fillId="0" borderId="5" applyNumberFormat="0" applyFill="0" applyAlignment="0" applyProtection="0"/>
    <xf numFmtId="0" fontId="12" fillId="0" borderId="6" applyNumberFormat="0" applyFill="0" applyAlignment="0" applyProtection="0"/>
    <xf numFmtId="0" fontId="88" fillId="0" borderId="7" applyNumberFormat="0" applyFill="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3" fillId="0" borderId="0" applyNumberFormat="0" applyFill="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39" borderId="0" applyNumberFormat="0" applyBorder="0" applyAlignment="0" applyProtection="0"/>
    <xf numFmtId="0" fontId="83" fillId="39" borderId="0" applyNumberFormat="0" applyBorder="0" applyAlignment="0" applyProtection="0"/>
    <xf numFmtId="0" fontId="8" fillId="40"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1" borderId="0" applyNumberFormat="0" applyBorder="0" applyAlignment="0" applyProtection="0"/>
    <xf numFmtId="0" fontId="83" fillId="41" borderId="0" applyNumberFormat="0" applyBorder="0" applyAlignment="0" applyProtection="0"/>
    <xf numFmtId="0" fontId="8" fillId="42"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3" borderId="0" applyNumberFormat="0" applyBorder="0" applyAlignment="0" applyProtection="0"/>
    <xf numFmtId="0" fontId="83" fillId="43" borderId="0" applyNumberFormat="0" applyBorder="0" applyAlignment="0" applyProtection="0"/>
    <xf numFmtId="0" fontId="8" fillId="44"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5" borderId="0" applyNumberFormat="0" applyBorder="0" applyAlignment="0" applyProtection="0"/>
    <xf numFmtId="0" fontId="83" fillId="45" borderId="0" applyNumberFormat="0" applyBorder="0" applyAlignment="0" applyProtection="0"/>
    <xf numFmtId="0" fontId="8" fillId="29"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6" borderId="0" applyNumberFormat="0" applyBorder="0" applyAlignment="0" applyProtection="0"/>
    <xf numFmtId="0" fontId="83" fillId="46" borderId="0" applyNumberFormat="0" applyBorder="0" applyAlignment="0" applyProtection="0"/>
    <xf numFmtId="0" fontId="8" fillId="31"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83" fillId="47" borderId="0" applyNumberFormat="0" applyBorder="0" applyAlignment="0" applyProtection="0"/>
    <xf numFmtId="0" fontId="83" fillId="47" borderId="0" applyNumberFormat="0" applyBorder="0" applyAlignment="0" applyProtection="0"/>
    <xf numFmtId="0" fontId="8" fillId="48" borderId="0" applyNumberFormat="0" applyBorder="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0" fillId="49" borderId="1" applyNumberFormat="0" applyAlignment="0" applyProtection="0"/>
    <xf numFmtId="0" fontId="90" fillId="49" borderId="1" applyNumberFormat="0" applyAlignment="0" applyProtection="0"/>
    <xf numFmtId="0" fontId="14" fillId="13" borderId="2" applyNumberFormat="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3" fillId="0" borderId="0" applyNumberFormat="0" applyFill="0" applyBorder="0" applyAlignment="0" applyProtection="0"/>
    <xf numFmtId="0" fontId="93" fillId="0" borderId="0" applyNumberFormat="0" applyFill="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0" fontId="94" fillId="50" borderId="0" applyNumberFormat="0" applyBorder="0" applyAlignment="0" applyProtection="0"/>
    <xf numFmtId="0" fontId="94" fillId="50"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66" fontId="2" fillId="0" borderId="0" applyFont="0" applyFill="0" applyBorder="0" applyAlignment="0" applyProtection="0"/>
    <xf numFmtId="169"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0"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95" fillId="51" borderId="0" applyNumberFormat="0" applyBorder="0" applyAlignment="0" applyProtection="0"/>
    <xf numFmtId="0" fontId="95"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7" fillId="35" borderId="10" applyNumberFormat="0" applyAlignment="0" applyProtection="0"/>
    <xf numFmtId="0" fontId="97" fillId="35" borderId="10" applyNumberFormat="0" applyAlignment="0" applyProtection="0"/>
    <xf numFmtId="0" fontId="17" fillId="36" borderId="11" applyNumberFormat="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8"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9" fillId="0" borderId="0" applyNumberFormat="0" applyFill="0" applyBorder="0" applyAlignment="0" applyProtection="0"/>
    <xf numFmtId="0" fontId="100" fillId="0" borderId="0" applyNumberFormat="0" applyFill="0" applyBorder="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88" fillId="0" borderId="7" applyNumberFormat="0" applyFill="0" applyAlignment="0" applyProtection="0"/>
    <xf numFmtId="0" fontId="88" fillId="0" borderId="7" applyNumberFormat="0" applyFill="0" applyAlignment="0" applyProtection="0"/>
    <xf numFmtId="0" fontId="20" fillId="0" borderId="12"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101" fillId="0" borderId="13" applyNumberFormat="0" applyFill="0" applyAlignment="0" applyProtection="0"/>
    <xf numFmtId="0" fontId="101" fillId="0" borderId="13" applyNumberFormat="0" applyFill="0" applyAlignment="0" applyProtection="0"/>
    <xf numFmtId="0" fontId="21" fillId="0" borderId="14"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89" fillId="0" borderId="15" applyNumberFormat="0" applyFill="0" applyAlignment="0" applyProtection="0"/>
    <xf numFmtId="0" fontId="89"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5" fillId="0" borderId="0" applyNumberFormat="0" applyFill="0" applyBorder="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xf numFmtId="0" fontId="102" fillId="0" borderId="17" applyNumberFormat="0" applyFill="0" applyAlignment="0" applyProtection="0"/>
    <xf numFmtId="0" fontId="102" fillId="0" borderId="17" applyNumberFormat="0" applyFill="0" applyAlignment="0" applyProtection="0"/>
    <xf numFmtId="0" fontId="6" fillId="0" borderId="18" applyNumberFormat="0" applyFill="0" applyAlignment="0" applyProtection="0"/>
  </cellStyleXfs>
  <cellXfs count="414">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lignment/>
      <protection/>
    </xf>
    <xf numFmtId="0" fontId="22" fillId="55" borderId="20"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3"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3" fillId="55" borderId="0" xfId="372" applyFont="1" applyFill="1" applyBorder="1" applyAlignment="1" applyProtection="1">
      <alignment horizontal="center"/>
      <protection/>
    </xf>
    <xf numFmtId="0" fontId="103"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4"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1" xfId="372" applyFont="1" applyFill="1" applyBorder="1" applyAlignment="1" applyProtection="1">
      <alignment horizontal="center" vertical="center"/>
      <protection/>
    </xf>
    <xf numFmtId="0" fontId="22" fillId="55" borderId="21" xfId="372" applyFont="1" applyFill="1" applyBorder="1" applyAlignment="1" applyProtection="1">
      <alignment horizontal="left" vertical="center"/>
      <protection/>
    </xf>
    <xf numFmtId="0" fontId="22" fillId="55" borderId="21"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92" fillId="55" borderId="0" xfId="286" applyFont="1" applyFill="1" applyAlignment="1" applyProtection="1">
      <alignment/>
      <protection/>
    </xf>
    <xf numFmtId="0" fontId="92" fillId="55" borderId="0" xfId="286" applyFont="1" applyFill="1" applyBorder="1" applyAlignment="1" applyProtection="1">
      <alignment horizontal="right"/>
      <protection/>
    </xf>
    <xf numFmtId="0" fontId="92" fillId="55" borderId="0" xfId="286" applyFont="1" applyFill="1" applyBorder="1" applyAlignment="1" applyProtection="1" quotePrefix="1">
      <alignment horizontal="right"/>
      <protection/>
    </xf>
    <xf numFmtId="0" fontId="105" fillId="56" borderId="21" xfId="0" applyFont="1" applyFill="1" applyBorder="1" applyAlignment="1">
      <alignment vertical="center"/>
    </xf>
    <xf numFmtId="0" fontId="105" fillId="56" borderId="21" xfId="0" applyFont="1" applyFill="1" applyBorder="1" applyAlignment="1">
      <alignment horizontal="center" vertical="center" wrapText="1"/>
    </xf>
    <xf numFmtId="3" fontId="106" fillId="55" borderId="22"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106" fillId="55" borderId="0" xfId="0" applyFont="1" applyFill="1" applyAlignment="1">
      <alignment/>
    </xf>
    <xf numFmtId="3" fontId="105" fillId="55" borderId="23" xfId="0" applyNumberFormat="1" applyFont="1" applyFill="1" applyBorder="1" applyAlignment="1" quotePrefix="1">
      <alignment horizontal="center" vertical="center" wrapText="1"/>
    </xf>
    <xf numFmtId="3" fontId="105" fillId="55" borderId="24" xfId="0" applyNumberFormat="1" applyFont="1" applyFill="1" applyBorder="1" applyAlignment="1" quotePrefix="1">
      <alignment horizontal="center" vertical="center" wrapText="1"/>
    </xf>
    <xf numFmtId="171" fontId="105" fillId="55" borderId="24" xfId="0" applyNumberFormat="1" applyFont="1" applyFill="1" applyBorder="1" applyAlignment="1">
      <alignment horizontal="center" vertical="center" wrapText="1"/>
    </xf>
    <xf numFmtId="3" fontId="105" fillId="55" borderId="24" xfId="0" applyNumberFormat="1" applyFont="1" applyFill="1" applyBorder="1" applyAlignment="1">
      <alignment horizontal="center" vertical="center" wrapText="1"/>
    </xf>
    <xf numFmtId="171" fontId="105" fillId="55" borderId="25" xfId="0" applyNumberFormat="1" applyFont="1" applyFill="1" applyBorder="1" applyAlignment="1">
      <alignment horizontal="center" vertical="center" wrapText="1"/>
    </xf>
    <xf numFmtId="3" fontId="106" fillId="55" borderId="0" xfId="0" applyNumberFormat="1" applyFont="1" applyFill="1" applyAlignment="1">
      <alignment/>
    </xf>
    <xf numFmtId="3" fontId="106" fillId="55" borderId="26" xfId="0" applyNumberFormat="1" applyFont="1" applyFill="1" applyBorder="1" applyAlignment="1">
      <alignment/>
    </xf>
    <xf numFmtId="3" fontId="106" fillId="55" borderId="0" xfId="0" applyNumberFormat="1" applyFont="1" applyFill="1" applyBorder="1" applyAlignment="1">
      <alignment/>
    </xf>
    <xf numFmtId="171" fontId="106" fillId="55" borderId="27" xfId="0" applyNumberFormat="1" applyFont="1" applyFill="1" applyBorder="1" applyAlignment="1">
      <alignment horizontal="right"/>
    </xf>
    <xf numFmtId="0" fontId="92" fillId="55" borderId="0" xfId="286" applyFont="1" applyFill="1" applyAlignment="1">
      <alignment/>
    </xf>
    <xf numFmtId="171"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5" fontId="2" fillId="55" borderId="0" xfId="362" applyNumberFormat="1" applyFont="1" applyFill="1">
      <alignment/>
      <protection/>
    </xf>
    <xf numFmtId="174" fontId="2" fillId="55" borderId="0" xfId="362" applyNumberFormat="1" applyFont="1" applyFill="1">
      <alignment/>
      <protection/>
    </xf>
    <xf numFmtId="3" fontId="107" fillId="0" borderId="0" xfId="0" applyNumberFormat="1" applyFont="1" applyAlignment="1">
      <alignment/>
    </xf>
    <xf numFmtId="0" fontId="108" fillId="55" borderId="0" xfId="0" applyFont="1" applyFill="1" applyAlignment="1">
      <alignment/>
    </xf>
    <xf numFmtId="14" fontId="106" fillId="55" borderId="22" xfId="0" applyNumberFormat="1" applyFont="1" applyFill="1" applyBorder="1" applyAlignment="1">
      <alignment horizontal="left"/>
    </xf>
    <xf numFmtId="0" fontId="106" fillId="55" borderId="0" xfId="0" applyFont="1" applyFill="1" applyAlignment="1">
      <alignment horizontal="center"/>
    </xf>
    <xf numFmtId="0" fontId="105" fillId="55" borderId="21" xfId="0" applyFont="1" applyFill="1" applyBorder="1" applyAlignment="1">
      <alignment vertical="center"/>
    </xf>
    <xf numFmtId="0" fontId="109" fillId="55" borderId="0" xfId="0" applyFont="1" applyFill="1" applyAlignment="1">
      <alignment horizontal="center" vertical="center" readingOrder="1"/>
    </xf>
    <xf numFmtId="3" fontId="105" fillId="55" borderId="28" xfId="0" applyNumberFormat="1" applyFont="1" applyFill="1" applyBorder="1" applyAlignment="1">
      <alignment/>
    </xf>
    <xf numFmtId="3" fontId="105" fillId="55" borderId="21" xfId="0" applyNumberFormat="1" applyFont="1" applyFill="1" applyBorder="1" applyAlignment="1">
      <alignment/>
    </xf>
    <xf numFmtId="171" fontId="105" fillId="55" borderId="29" xfId="0" applyNumberFormat="1" applyFont="1" applyFill="1" applyBorder="1" applyAlignment="1">
      <alignment horizontal="right"/>
    </xf>
    <xf numFmtId="0" fontId="106" fillId="55" borderId="0" xfId="0" applyFont="1" applyFill="1" applyBorder="1" applyAlignment="1">
      <alignment/>
    </xf>
    <xf numFmtId="0" fontId="110" fillId="55" borderId="0" xfId="286" applyFont="1" applyFill="1" applyAlignment="1">
      <alignment/>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0" fontId="0" fillId="55" borderId="0" xfId="0" applyFill="1" applyAlignment="1">
      <alignment/>
    </xf>
    <xf numFmtId="0" fontId="111" fillId="55" borderId="0" xfId="0" applyFont="1" applyFill="1" applyAlignment="1">
      <alignment/>
    </xf>
    <xf numFmtId="0" fontId="111" fillId="55" borderId="0" xfId="358" applyFont="1" applyFill="1">
      <alignment/>
      <protection/>
    </xf>
    <xf numFmtId="0" fontId="0" fillId="55" borderId="0" xfId="0" applyFill="1" applyAlignment="1">
      <alignment horizontal="center" vertical="center"/>
    </xf>
    <xf numFmtId="0" fontId="112" fillId="55" borderId="0" xfId="358" applyFont="1" applyFill="1" applyAlignment="1">
      <alignment vertical="top"/>
      <protection/>
    </xf>
    <xf numFmtId="0" fontId="113" fillId="55" borderId="0" xfId="358" applyFont="1" applyFill="1" applyAlignment="1">
      <alignment horizontal="left" vertical="top"/>
      <protection/>
    </xf>
    <xf numFmtId="17" fontId="114" fillId="55" borderId="0" xfId="358" applyNumberFormat="1" applyFont="1" applyFill="1" applyAlignment="1" quotePrefix="1">
      <alignment vertical="center"/>
      <protection/>
    </xf>
    <xf numFmtId="0" fontId="114" fillId="55" borderId="0" xfId="358" applyFont="1" applyFill="1" applyAlignment="1">
      <alignment vertical="center"/>
      <protection/>
    </xf>
    <xf numFmtId="0" fontId="115" fillId="55" borderId="0" xfId="358" applyFont="1" applyFill="1" applyAlignment="1">
      <alignment horizontal="left" vertical="center"/>
      <protection/>
    </xf>
    <xf numFmtId="170" fontId="2" fillId="55" borderId="0" xfId="362" applyNumberFormat="1"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30" xfId="305" applyNumberFormat="1" applyFont="1" applyFill="1" applyBorder="1" applyAlignment="1">
      <alignment horizontal="center" vertical="center" wrapText="1"/>
    </xf>
    <xf numFmtId="171" fontId="2" fillId="55" borderId="0" xfId="305" applyNumberFormat="1" applyFont="1" applyFill="1" applyBorder="1" applyAlignment="1">
      <alignment horizontal="center" vertical="center" wrapText="1"/>
    </xf>
    <xf numFmtId="171" fontId="2" fillId="55" borderId="0" xfId="362" applyNumberFormat="1" applyFont="1" applyFill="1" applyBorder="1" applyAlignment="1">
      <alignment horizontal="center"/>
      <protection/>
    </xf>
    <xf numFmtId="0" fontId="2" fillId="55" borderId="0" xfId="350" applyFont="1" applyFill="1" applyBorder="1">
      <alignment/>
      <protection/>
    </xf>
    <xf numFmtId="0" fontId="105" fillId="55" borderId="21" xfId="0" applyFont="1" applyFill="1" applyBorder="1" applyAlignment="1">
      <alignment horizontal="center" vertical="center" wrapText="1"/>
    </xf>
    <xf numFmtId="171" fontId="2" fillId="55" borderId="0" xfId="305" applyNumberFormat="1" applyFont="1" applyFill="1" applyBorder="1" applyAlignment="1">
      <alignment horizontal="center" vertical="center"/>
    </xf>
    <xf numFmtId="176" fontId="106" fillId="55" borderId="0" xfId="0" applyNumberFormat="1" applyFont="1" applyFill="1" applyAlignment="1">
      <alignment horizontal="left"/>
    </xf>
    <xf numFmtId="14" fontId="106" fillId="55" borderId="31" xfId="0" applyNumberFormat="1" applyFont="1" applyFill="1" applyBorder="1" applyAlignment="1">
      <alignment horizontal="left"/>
    </xf>
    <xf numFmtId="3" fontId="106" fillId="55" borderId="31" xfId="0" applyNumberFormat="1" applyFont="1" applyFill="1" applyBorder="1" applyAlignment="1">
      <alignment horizontal="center"/>
    </xf>
    <xf numFmtId="14" fontId="106" fillId="55" borderId="32" xfId="0" applyNumberFormat="1" applyFont="1" applyFill="1" applyBorder="1" applyAlignment="1">
      <alignment horizontal="left"/>
    </xf>
    <xf numFmtId="3" fontId="106" fillId="55" borderId="32" xfId="0" applyNumberFormat="1" applyFont="1" applyFill="1" applyBorder="1" applyAlignment="1">
      <alignment horizontal="center"/>
    </xf>
    <xf numFmtId="176" fontId="106" fillId="55" borderId="33" xfId="0" applyNumberFormat="1" applyFont="1" applyFill="1" applyBorder="1" applyAlignment="1">
      <alignment horizontal="left"/>
    </xf>
    <xf numFmtId="176" fontId="106"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105"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0" fillId="55" borderId="0" xfId="0" applyFont="1" applyFill="1" applyAlignment="1">
      <alignment/>
    </xf>
    <xf numFmtId="0" fontId="116" fillId="55" borderId="0" xfId="358" applyFont="1" applyFill="1" applyAlignment="1">
      <alignment horizontal="center"/>
      <protection/>
    </xf>
    <xf numFmtId="0" fontId="111" fillId="55" borderId="0" xfId="358" applyFont="1" applyFill="1" applyAlignment="1">
      <alignment horizontal="center"/>
      <protection/>
    </xf>
    <xf numFmtId="0" fontId="116" fillId="55" borderId="0" xfId="358" applyFont="1" applyFill="1" applyAlignment="1">
      <alignment/>
      <protection/>
    </xf>
    <xf numFmtId="0" fontId="111" fillId="55" borderId="0" xfId="358" applyFont="1" applyFill="1" applyAlignment="1">
      <alignment/>
      <protection/>
    </xf>
    <xf numFmtId="0" fontId="28" fillId="55" borderId="0" xfId="286" applyFont="1" applyFill="1" applyAlignment="1">
      <alignment vertical="center"/>
    </xf>
    <xf numFmtId="0" fontId="28" fillId="55" borderId="0" xfId="286" applyFont="1" applyFill="1" applyAlignment="1">
      <alignment horizontal="center" vertical="center"/>
    </xf>
    <xf numFmtId="0" fontId="116" fillId="55" borderId="0" xfId="358" applyFont="1" applyFill="1" applyAlignment="1">
      <alignment vertical="center"/>
      <protection/>
    </xf>
    <xf numFmtId="0" fontId="105" fillId="55" borderId="0" xfId="0" applyFont="1" applyFill="1" applyBorder="1" applyAlignment="1">
      <alignment horizontal="center"/>
    </xf>
    <xf numFmtId="171" fontId="105" fillId="55" borderId="0" xfId="0" applyNumberFormat="1" applyFont="1" applyFill="1" applyBorder="1" applyAlignment="1">
      <alignment horizontal="center" vertical="center" wrapText="1"/>
    </xf>
    <xf numFmtId="171" fontId="106" fillId="55" borderId="0" xfId="0" applyNumberFormat="1" applyFont="1" applyFill="1" applyBorder="1" applyAlignment="1">
      <alignment horizontal="right"/>
    </xf>
    <xf numFmtId="171" fontId="105" fillId="55" borderId="0" xfId="0" applyNumberFormat="1" applyFont="1" applyFill="1" applyBorder="1" applyAlignment="1">
      <alignment horizontal="right"/>
    </xf>
    <xf numFmtId="0" fontId="108" fillId="55" borderId="0" xfId="0" applyFont="1" applyFill="1" applyBorder="1" applyAlignment="1">
      <alignment horizontal="left"/>
    </xf>
    <xf numFmtId="0" fontId="105" fillId="56" borderId="0" xfId="0" applyFont="1" applyFill="1" applyBorder="1" applyAlignment="1">
      <alignment horizontal="center" vertical="center" wrapText="1"/>
    </xf>
    <xf numFmtId="3" fontId="106" fillId="55" borderId="0" xfId="0" applyNumberFormat="1" applyFont="1" applyFill="1" applyBorder="1" applyAlignment="1">
      <alignment horizontal="center"/>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30" xfId="362" applyFont="1" applyFill="1" applyBorder="1" applyAlignment="1">
      <alignment horizontal="center" wrapText="1"/>
      <protection/>
    </xf>
    <xf numFmtId="3" fontId="2" fillId="55" borderId="3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116" fillId="55" borderId="0" xfId="358" applyFont="1" applyFill="1" applyAlignment="1">
      <alignment horizontal="center"/>
      <protection/>
    </xf>
    <xf numFmtId="0" fontId="105" fillId="55" borderId="28" xfId="0" applyFont="1" applyFill="1" applyBorder="1" applyAlignment="1">
      <alignment/>
    </xf>
    <xf numFmtId="0" fontId="105" fillId="55" borderId="29" xfId="0" applyFont="1" applyFill="1" applyBorder="1" applyAlignment="1">
      <alignment/>
    </xf>
    <xf numFmtId="0" fontId="105" fillId="55" borderId="28" xfId="0" applyFont="1" applyFill="1" applyBorder="1" applyAlignment="1">
      <alignment horizontal="left" vertical="center"/>
    </xf>
    <xf numFmtId="0" fontId="105" fillId="55" borderId="29" xfId="0" applyFont="1" applyFill="1" applyBorder="1" applyAlignment="1">
      <alignment horizontal="left" vertical="center"/>
    </xf>
    <xf numFmtId="3" fontId="2" fillId="0" borderId="0" xfId="362" applyNumberFormat="1" applyFont="1" applyFill="1">
      <alignment/>
      <protection/>
    </xf>
    <xf numFmtId="17" fontId="2" fillId="0" borderId="0" xfId="362" applyNumberFormat="1" applyFont="1" applyFill="1">
      <alignment/>
      <protection/>
    </xf>
    <xf numFmtId="177" fontId="2" fillId="55" borderId="0" xfId="382" applyNumberFormat="1" applyFont="1" applyFill="1" applyAlignment="1">
      <alignment/>
    </xf>
    <xf numFmtId="0" fontId="111" fillId="55" borderId="0" xfId="358" applyFont="1" applyFill="1" applyAlignment="1">
      <alignment wrapText="1"/>
      <protection/>
    </xf>
    <xf numFmtId="17" fontId="111" fillId="55" borderId="0" xfId="358" applyNumberFormat="1" applyFont="1" applyFill="1" applyAlignment="1" quotePrefix="1">
      <alignment horizontal="center"/>
      <protection/>
    </xf>
    <xf numFmtId="0" fontId="22" fillId="55" borderId="0" xfId="362" applyFont="1" applyFill="1" applyBorder="1" applyAlignment="1">
      <alignment/>
      <protection/>
    </xf>
    <xf numFmtId="178" fontId="2" fillId="55" borderId="0" xfId="362" applyNumberFormat="1" applyFont="1" applyFill="1">
      <alignment/>
      <protection/>
    </xf>
    <xf numFmtId="0" fontId="24" fillId="55" borderId="0" xfId="366" applyFont="1" applyFill="1" applyBorder="1" applyAlignment="1">
      <alignment vertical="center" wrapText="1"/>
      <protection/>
    </xf>
    <xf numFmtId="0" fontId="117" fillId="55" borderId="0" xfId="0" applyFont="1" applyFill="1" applyAlignment="1" quotePrefix="1">
      <alignment horizontal="center"/>
    </xf>
    <xf numFmtId="0" fontId="22" fillId="55" borderId="0" xfId="362" applyFont="1" applyFill="1" applyBorder="1" applyAlignment="1">
      <alignment horizontal="center"/>
      <protection/>
    </xf>
    <xf numFmtId="9" fontId="2" fillId="55" borderId="0" xfId="382" applyFont="1" applyFill="1" applyAlignment="1">
      <alignment/>
    </xf>
    <xf numFmtId="0" fontId="118" fillId="55" borderId="0" xfId="362" applyFont="1" applyFill="1">
      <alignment/>
      <protection/>
    </xf>
    <xf numFmtId="0" fontId="24" fillId="55" borderId="24" xfId="366" applyFont="1" applyFill="1" applyBorder="1" applyAlignment="1">
      <alignment horizontal="left" vertical="center" wrapText="1"/>
      <protection/>
    </xf>
    <xf numFmtId="0" fontId="24" fillId="55" borderId="24" xfId="362" applyFont="1" applyFill="1" applyBorder="1">
      <alignment/>
      <protection/>
    </xf>
    <xf numFmtId="3" fontId="106" fillId="55" borderId="33" xfId="0" applyNumberFormat="1" applyFont="1" applyFill="1" applyBorder="1" applyAlignment="1">
      <alignment horizontal="center"/>
    </xf>
    <xf numFmtId="3" fontId="106" fillId="55" borderId="0" xfId="0" applyNumberFormat="1" applyFont="1" applyFill="1" applyAlignment="1">
      <alignment horizontal="center"/>
    </xf>
    <xf numFmtId="0" fontId="119" fillId="55" borderId="0" xfId="0" applyFont="1" applyFill="1" applyAlignment="1">
      <alignment/>
    </xf>
    <xf numFmtId="177" fontId="119" fillId="55" borderId="0" xfId="382" applyNumberFormat="1" applyFont="1" applyFill="1" applyAlignment="1">
      <alignment/>
    </xf>
    <xf numFmtId="0" fontId="120" fillId="55" borderId="0" xfId="286" applyFont="1" applyFill="1" applyAlignment="1">
      <alignment/>
    </xf>
    <xf numFmtId="0" fontId="119" fillId="55" borderId="0" xfId="362" applyFont="1" applyFill="1">
      <alignment/>
      <protection/>
    </xf>
    <xf numFmtId="174" fontId="119" fillId="55" borderId="0" xfId="362" applyNumberFormat="1" applyFont="1" applyFill="1">
      <alignment/>
      <protection/>
    </xf>
    <xf numFmtId="171" fontId="2" fillId="55" borderId="34" xfId="351" applyNumberFormat="1" applyFont="1" applyFill="1" applyBorder="1" applyAlignment="1">
      <alignment horizontal="center" vertical="center" wrapText="1"/>
      <protection/>
    </xf>
    <xf numFmtId="171" fontId="2" fillId="55" borderId="32" xfId="351" applyNumberFormat="1" applyFont="1" applyFill="1" applyBorder="1" applyAlignment="1">
      <alignment horizontal="center" vertical="center" wrapText="1"/>
      <protection/>
    </xf>
    <xf numFmtId="171" fontId="2" fillId="0" borderId="32" xfId="351" applyNumberFormat="1" applyFont="1" applyFill="1" applyBorder="1" applyAlignment="1">
      <alignment horizontal="center" vertical="center" wrapText="1"/>
      <protection/>
    </xf>
    <xf numFmtId="171" fontId="2" fillId="55" borderId="0" xfId="351" applyNumberFormat="1" applyFont="1" applyFill="1" applyBorder="1" applyAlignment="1">
      <alignment horizontal="center" vertical="center" wrapText="1"/>
      <protection/>
    </xf>
    <xf numFmtId="171" fontId="22" fillId="55" borderId="20" xfId="351" applyNumberFormat="1" applyFont="1" applyFill="1" applyBorder="1" applyAlignment="1">
      <alignment horizontal="center" vertical="center" wrapText="1"/>
      <protection/>
    </xf>
    <xf numFmtId="171" fontId="22" fillId="55" borderId="19" xfId="351" applyNumberFormat="1" applyFont="1" applyFill="1" applyBorder="1" applyAlignment="1">
      <alignment horizontal="center" vertical="center" wrapText="1"/>
      <protection/>
    </xf>
    <xf numFmtId="0" fontId="106" fillId="55" borderId="35" xfId="0" applyFont="1" applyFill="1" applyBorder="1" applyAlignment="1">
      <alignment horizontal="left" vertical="center"/>
    </xf>
    <xf numFmtId="3" fontId="106" fillId="55" borderId="0" xfId="0" applyNumberFormat="1" applyFont="1" applyFill="1" applyBorder="1" applyAlignment="1">
      <alignment horizontal="right" vertical="center"/>
    </xf>
    <xf numFmtId="171" fontId="106" fillId="55" borderId="27" xfId="0" applyNumberFormat="1" applyFont="1" applyFill="1" applyBorder="1" applyAlignment="1">
      <alignment horizontal="right" vertical="center"/>
    </xf>
    <xf numFmtId="171" fontId="119"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19" fillId="55" borderId="0" xfId="0" applyNumberFormat="1" applyFont="1" applyFill="1" applyAlignment="1">
      <alignment/>
    </xf>
    <xf numFmtId="0" fontId="2" fillId="55" borderId="0" xfId="0" applyFont="1" applyFill="1" applyAlignment="1">
      <alignment/>
    </xf>
    <xf numFmtId="0" fontId="105" fillId="56" borderId="0" xfId="0" applyFont="1" applyFill="1" applyBorder="1" applyAlignment="1">
      <alignment horizontal="center"/>
    </xf>
    <xf numFmtId="0" fontId="105" fillId="56" borderId="36" xfId="0" applyFont="1" applyFill="1" applyBorder="1" applyAlignment="1">
      <alignment vertical="center"/>
    </xf>
    <xf numFmtId="0" fontId="105" fillId="56" borderId="37" xfId="0" applyFont="1" applyFill="1" applyBorder="1" applyAlignment="1">
      <alignment horizontal="center" vertical="center" wrapText="1"/>
    </xf>
    <xf numFmtId="0" fontId="105" fillId="56" borderId="22" xfId="0" applyFont="1" applyFill="1" applyBorder="1" applyAlignment="1">
      <alignment horizontal="center" vertical="center" wrapText="1"/>
    </xf>
    <xf numFmtId="0" fontId="105" fillId="56" borderId="38" xfId="0" applyFont="1" applyFill="1" applyBorder="1" applyAlignment="1">
      <alignment horizontal="center" vertical="center" wrapText="1"/>
    </xf>
    <xf numFmtId="176" fontId="106" fillId="55" borderId="39" xfId="0" applyNumberFormat="1" applyFont="1" applyFill="1" applyBorder="1" applyAlignment="1">
      <alignment horizontal="left"/>
    </xf>
    <xf numFmtId="3" fontId="106" fillId="55" borderId="40" xfId="0" applyNumberFormat="1" applyFont="1" applyFill="1" applyBorder="1" applyAlignment="1">
      <alignment horizontal="center"/>
    </xf>
    <xf numFmtId="3" fontId="106" fillId="55" borderId="41" xfId="0" applyNumberFormat="1" applyFont="1" applyFill="1" applyBorder="1" applyAlignment="1">
      <alignment horizontal="center"/>
    </xf>
    <xf numFmtId="176" fontId="106" fillId="55" borderId="42" xfId="0" applyNumberFormat="1" applyFont="1" applyFill="1" applyBorder="1" applyAlignment="1">
      <alignment horizontal="left"/>
    </xf>
    <xf numFmtId="3" fontId="106" fillId="55" borderId="37" xfId="0" applyNumberFormat="1" applyFont="1" applyFill="1" applyBorder="1" applyAlignment="1">
      <alignment horizontal="center"/>
    </xf>
    <xf numFmtId="3" fontId="106" fillId="55" borderId="38" xfId="0" applyNumberFormat="1" applyFont="1" applyFill="1" applyBorder="1" applyAlignment="1">
      <alignment horizontal="center"/>
    </xf>
    <xf numFmtId="3" fontId="2" fillId="55" borderId="0" xfId="0" applyNumberFormat="1" applyFont="1" applyFill="1" applyAlignment="1">
      <alignment/>
    </xf>
    <xf numFmtId="0" fontId="91" fillId="55" borderId="0" xfId="286" applyFill="1" applyBorder="1" applyAlignment="1" applyProtection="1">
      <alignment horizontal="right"/>
      <protection/>
    </xf>
    <xf numFmtId="0" fontId="22" fillId="55" borderId="36" xfId="0" applyFont="1" applyFill="1" applyBorder="1" applyAlignment="1">
      <alignment horizontal="center" vertical="center" wrapText="1"/>
    </xf>
    <xf numFmtId="0" fontId="22" fillId="55" borderId="36" xfId="0" applyFont="1" applyFill="1" applyBorder="1" applyAlignment="1">
      <alignment vertical="center" wrapText="1"/>
    </xf>
    <xf numFmtId="180" fontId="2" fillId="55" borderId="36" xfId="301" applyNumberFormat="1" applyFont="1" applyFill="1" applyBorder="1" applyAlignment="1">
      <alignment horizontal="center" vertical="center" wrapText="1"/>
    </xf>
    <xf numFmtId="164" fontId="2" fillId="55" borderId="36" xfId="336" applyNumberFormat="1" applyFont="1" applyFill="1" applyBorder="1" applyAlignment="1">
      <alignment horizontal="center" vertical="center" wrapText="1"/>
    </xf>
    <xf numFmtId="0" fontId="22" fillId="55" borderId="36" xfId="0" applyFont="1" applyFill="1" applyBorder="1" applyAlignment="1">
      <alignment vertical="center"/>
    </xf>
    <xf numFmtId="0" fontId="33" fillId="55" borderId="36" xfId="0" applyFont="1" applyFill="1" applyBorder="1" applyAlignment="1">
      <alignment horizontal="right" vertical="center" wrapText="1"/>
    </xf>
    <xf numFmtId="164" fontId="34" fillId="55" borderId="36" xfId="336" applyNumberFormat="1" applyFont="1" applyFill="1" applyBorder="1" applyAlignment="1">
      <alignment horizontal="right" vertical="center" wrapText="1"/>
    </xf>
    <xf numFmtId="0" fontId="33" fillId="55" borderId="36" xfId="0" applyFont="1" applyFill="1" applyBorder="1" applyAlignment="1">
      <alignment horizontal="right"/>
    </xf>
    <xf numFmtId="0" fontId="22" fillId="55" borderId="0" xfId="0" applyFont="1" applyFill="1" applyBorder="1" applyAlignment="1">
      <alignment/>
    </xf>
    <xf numFmtId="164" fontId="34" fillId="55" borderId="0" xfId="336" applyNumberFormat="1" applyFont="1" applyFill="1" applyBorder="1" applyAlignment="1">
      <alignment vertical="center" wrapText="1"/>
    </xf>
    <xf numFmtId="3" fontId="22" fillId="55" borderId="36" xfId="300" applyNumberFormat="1" applyFont="1" applyFill="1" applyBorder="1" applyAlignment="1">
      <alignment horizontal="center" vertical="center"/>
    </xf>
    <xf numFmtId="0" fontId="2" fillId="55" borderId="0" xfId="0" applyFont="1" applyFill="1" applyBorder="1" applyAlignment="1">
      <alignment vertical="center"/>
    </xf>
    <xf numFmtId="0" fontId="106" fillId="55" borderId="0" xfId="0" applyFont="1" applyFill="1" applyBorder="1" applyAlignment="1">
      <alignment/>
    </xf>
    <xf numFmtId="3" fontId="22" fillId="55" borderId="0" xfId="300" applyNumberFormat="1" applyFont="1" applyFill="1" applyBorder="1" applyAlignment="1">
      <alignment horizontal="center" vertical="center"/>
    </xf>
    <xf numFmtId="164" fontId="34" fillId="55" borderId="36" xfId="336" applyNumberFormat="1" applyFont="1" applyFill="1" applyBorder="1" applyAlignment="1">
      <alignment horizontal="center" vertical="center" wrapText="1"/>
    </xf>
    <xf numFmtId="0" fontId="22" fillId="55" borderId="36" xfId="0" applyFont="1" applyFill="1" applyBorder="1" applyAlignment="1">
      <alignment horizontal="left"/>
    </xf>
    <xf numFmtId="0" fontId="121" fillId="55" borderId="0" xfId="358" applyFont="1" applyFill="1" applyAlignment="1">
      <alignment horizontal="center"/>
      <protection/>
    </xf>
    <xf numFmtId="0" fontId="105" fillId="55" borderId="0" xfId="358" applyFont="1" applyFill="1" applyAlignment="1">
      <alignment horizontal="center" vertical="center"/>
      <protection/>
    </xf>
    <xf numFmtId="0" fontId="37" fillId="55" borderId="0" xfId="362" applyFont="1" applyFill="1" applyBorder="1" applyAlignment="1">
      <alignment horizontal="center" vertical="center"/>
      <protection/>
    </xf>
    <xf numFmtId="0" fontId="38" fillId="55" borderId="0" xfId="362" applyFont="1" applyFill="1">
      <alignment/>
      <protection/>
    </xf>
    <xf numFmtId="0" fontId="38" fillId="55" borderId="0" xfId="362" applyFont="1" applyFill="1" applyBorder="1">
      <alignment/>
      <protection/>
    </xf>
    <xf numFmtId="0" fontId="38" fillId="55" borderId="0" xfId="362" applyFont="1" applyFill="1" applyBorder="1" applyAlignment="1">
      <alignment horizontal="left" vertical="top" wrapText="1"/>
      <protection/>
    </xf>
    <xf numFmtId="164" fontId="122" fillId="55" borderId="36" xfId="336" applyNumberFormat="1" applyFont="1" applyFill="1" applyBorder="1" applyAlignment="1">
      <alignment horizontal="center" vertical="center" wrapText="1"/>
    </xf>
    <xf numFmtId="3" fontId="105" fillId="55" borderId="28" xfId="0" applyNumberFormat="1" applyFont="1" applyFill="1" applyBorder="1" applyAlignment="1" quotePrefix="1">
      <alignment horizontal="center" vertical="center" wrapText="1"/>
    </xf>
    <xf numFmtId="3" fontId="105" fillId="55" borderId="21" xfId="0" applyNumberFormat="1" applyFont="1" applyFill="1" applyBorder="1" applyAlignment="1" quotePrefix="1">
      <alignment horizontal="center" vertical="center" wrapText="1"/>
    </xf>
    <xf numFmtId="171" fontId="105" fillId="55" borderId="21" xfId="0" applyNumberFormat="1" applyFont="1" applyFill="1" applyBorder="1" applyAlignment="1">
      <alignment horizontal="center" vertical="center" wrapText="1"/>
    </xf>
    <xf numFmtId="3" fontId="105" fillId="55" borderId="21" xfId="0" applyNumberFormat="1" applyFont="1" applyFill="1" applyBorder="1" applyAlignment="1">
      <alignment horizontal="center" vertical="center" wrapText="1"/>
    </xf>
    <xf numFmtId="171" fontId="105" fillId="55" borderId="29" xfId="0" applyNumberFormat="1" applyFont="1" applyFill="1" applyBorder="1" applyAlignment="1">
      <alignment horizontal="center" vertical="center" wrapText="1"/>
    </xf>
    <xf numFmtId="0" fontId="123" fillId="55" borderId="0" xfId="0" applyFont="1" applyFill="1" applyAlignment="1">
      <alignment/>
    </xf>
    <xf numFmtId="171" fontId="34" fillId="55" borderId="0" xfId="305" applyNumberFormat="1" applyFont="1" applyFill="1" applyBorder="1" applyAlignment="1">
      <alignment horizontal="center" vertical="center"/>
    </xf>
    <xf numFmtId="3" fontId="34"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6" fillId="55" borderId="0" xfId="0" applyFont="1" applyFill="1" applyAlignment="1">
      <alignment/>
    </xf>
    <xf numFmtId="171" fontId="106" fillId="55" borderId="25" xfId="0" applyNumberFormat="1" applyFont="1" applyFill="1" applyBorder="1" applyAlignment="1">
      <alignment horizontal="right"/>
    </xf>
    <xf numFmtId="3" fontId="106" fillId="55" borderId="26" xfId="0" applyNumberFormat="1" applyFont="1" applyFill="1" applyBorder="1" applyAlignment="1">
      <alignment/>
    </xf>
    <xf numFmtId="3" fontId="106" fillId="55" borderId="0" xfId="0" applyNumberFormat="1" applyFont="1" applyFill="1" applyBorder="1" applyAlignment="1">
      <alignment/>
    </xf>
    <xf numFmtId="171" fontId="106" fillId="55" borderId="27" xfId="0" applyNumberFormat="1" applyFont="1" applyFill="1" applyBorder="1" applyAlignment="1">
      <alignment horizontal="right"/>
    </xf>
    <xf numFmtId="3" fontId="105" fillId="55" borderId="23" xfId="0" applyNumberFormat="1" applyFont="1" applyFill="1" applyBorder="1" applyAlignment="1">
      <alignment/>
    </xf>
    <xf numFmtId="3" fontId="105" fillId="55" borderId="24" xfId="0" applyNumberFormat="1" applyFont="1" applyFill="1" applyBorder="1" applyAlignment="1">
      <alignment/>
    </xf>
    <xf numFmtId="0" fontId="106" fillId="55" borderId="0" xfId="0" applyFont="1" applyFill="1" applyBorder="1" applyAlignment="1">
      <alignment/>
    </xf>
    <xf numFmtId="171" fontId="106" fillId="55" borderId="0" xfId="0" applyNumberFormat="1" applyFont="1" applyFill="1" applyBorder="1" applyAlignment="1">
      <alignment horizontal="right"/>
    </xf>
    <xf numFmtId="0" fontId="105" fillId="55" borderId="28" xfId="0" applyFont="1" applyFill="1" applyBorder="1" applyAlignment="1">
      <alignment/>
    </xf>
    <xf numFmtId="0" fontId="105" fillId="55" borderId="29" xfId="0" applyFont="1" applyFill="1" applyBorder="1" applyAlignment="1">
      <alignment/>
    </xf>
    <xf numFmtId="0" fontId="24" fillId="55" borderId="0" xfId="366" applyFont="1" applyFill="1" applyBorder="1" applyAlignment="1">
      <alignment vertical="center" wrapText="1"/>
      <protection/>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0" fontId="124" fillId="55" borderId="0" xfId="362" applyFont="1" applyFill="1" applyBorder="1" applyAlignment="1">
      <alignment horizontal="center"/>
      <protection/>
    </xf>
    <xf numFmtId="0" fontId="106" fillId="55" borderId="35" xfId="0" applyFont="1" applyFill="1" applyBorder="1" applyAlignment="1">
      <alignment horizontal="left" vertical="center" wrapText="1"/>
    </xf>
    <xf numFmtId="9" fontId="119" fillId="55" borderId="0" xfId="382" applyFont="1" applyFill="1" applyAlignment="1">
      <alignment/>
    </xf>
    <xf numFmtId="3" fontId="0" fillId="0" borderId="0" xfId="0" applyNumberFormat="1" applyAlignment="1">
      <alignment/>
    </xf>
    <xf numFmtId="0" fontId="22" fillId="55" borderId="0" xfId="362" applyFont="1" applyFill="1" applyBorder="1" applyAlignment="1">
      <alignment horizontal="center"/>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 fillId="55" borderId="0" xfId="362" applyFont="1" applyFill="1" applyBorder="1" applyAlignment="1">
      <alignment vertical="center" wrapText="1"/>
      <protection/>
    </xf>
    <xf numFmtId="0" fontId="2" fillId="55" borderId="0" xfId="0" applyFont="1" applyFill="1" applyBorder="1" applyAlignment="1">
      <alignment horizontal="left" vertical="center" wrapText="1"/>
    </xf>
    <xf numFmtId="0" fontId="119" fillId="55" borderId="0" xfId="0" applyFont="1" applyFill="1" applyBorder="1" applyAlignment="1">
      <alignment horizontal="left" vertical="center" wrapText="1"/>
    </xf>
    <xf numFmtId="0" fontId="34" fillId="55" borderId="0" xfId="362" applyFont="1" applyFill="1">
      <alignment/>
      <protection/>
    </xf>
    <xf numFmtId="3" fontId="119" fillId="55" borderId="0" xfId="362" applyNumberFormat="1" applyFont="1" applyFill="1" applyBorder="1" applyAlignment="1">
      <alignment horizontal="center"/>
      <protection/>
    </xf>
    <xf numFmtId="0" fontId="125" fillId="55" borderId="0" xfId="362" applyFont="1" applyFill="1">
      <alignment/>
      <protection/>
    </xf>
    <xf numFmtId="177" fontId="125" fillId="55" borderId="0" xfId="382" applyNumberFormat="1" applyFont="1" applyFill="1" applyAlignment="1">
      <alignment/>
    </xf>
    <xf numFmtId="0" fontId="119" fillId="55" borderId="0" xfId="362" applyFont="1" applyFill="1" applyAlignment="1">
      <alignment horizontal="center"/>
      <protection/>
    </xf>
    <xf numFmtId="3" fontId="125" fillId="55" borderId="0" xfId="362" applyNumberFormat="1" applyFont="1" applyFill="1" applyBorder="1" applyAlignment="1">
      <alignment horizontal="center"/>
      <protection/>
    </xf>
    <xf numFmtId="3" fontId="119" fillId="55" borderId="0" xfId="362" applyNumberFormat="1" applyFont="1" applyFill="1">
      <alignment/>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0" xfId="362" applyNumberFormat="1" applyFont="1" applyFill="1" applyBorder="1" applyAlignment="1">
      <alignment/>
      <protection/>
    </xf>
    <xf numFmtId="0" fontId="119" fillId="55" borderId="0" xfId="362" applyFont="1" applyFill="1" applyAlignment="1">
      <alignment wrapText="1"/>
      <protection/>
    </xf>
    <xf numFmtId="177" fontId="119" fillId="55" borderId="0" xfId="382" applyNumberFormat="1" applyFont="1" applyFill="1" applyAlignment="1">
      <alignment wrapText="1"/>
    </xf>
    <xf numFmtId="177" fontId="119" fillId="55" borderId="0" xfId="362" applyNumberFormat="1" applyFont="1" applyFill="1" applyAlignment="1">
      <alignment wrapText="1"/>
      <protection/>
    </xf>
    <xf numFmtId="0" fontId="2" fillId="55" borderId="0" xfId="362" applyFont="1" applyFill="1" applyAlignment="1">
      <alignment/>
      <protection/>
    </xf>
    <xf numFmtId="0" fontId="34" fillId="55" borderId="0" xfId="362" applyFont="1" applyFill="1" applyAlignment="1">
      <alignment/>
      <protection/>
    </xf>
    <xf numFmtId="0" fontId="119" fillId="55" borderId="0" xfId="362" applyFont="1" applyFill="1" applyBorder="1">
      <alignment/>
      <protection/>
    </xf>
    <xf numFmtId="0" fontId="124" fillId="55" borderId="0" xfId="362" applyFont="1" applyFill="1" applyBorder="1" applyAlignment="1">
      <alignment horizontal="center" vertical="center" wrapText="1"/>
      <protection/>
    </xf>
    <xf numFmtId="171" fontId="119" fillId="55" borderId="0" xfId="362" applyNumberFormat="1" applyFont="1" applyFill="1" applyBorder="1">
      <alignment/>
      <protection/>
    </xf>
    <xf numFmtId="0" fontId="22" fillId="55" borderId="43" xfId="362" applyFont="1" applyFill="1" applyBorder="1" applyAlignment="1">
      <alignment horizontal="center"/>
      <protection/>
    </xf>
    <xf numFmtId="165" fontId="34" fillId="55" borderId="36" xfId="336" applyNumberFormat="1" applyFont="1" applyFill="1" applyBorder="1" applyAlignment="1">
      <alignment horizontal="center" vertical="center" wrapText="1"/>
    </xf>
    <xf numFmtId="165" fontId="2" fillId="55" borderId="0" xfId="336" applyNumberFormat="1" applyFont="1" applyFill="1" applyBorder="1" applyAlignment="1">
      <alignment horizontal="center" vertical="center" wrapText="1"/>
    </xf>
    <xf numFmtId="0" fontId="22" fillId="55" borderId="23" xfId="362" applyFont="1" applyFill="1" applyBorder="1" applyAlignment="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3" fontId="2" fillId="0" borderId="0" xfId="362" applyNumberFormat="1" applyFont="1" applyFill="1" applyBorder="1" applyAlignment="1">
      <alignment horizontal="center" vertical="center"/>
      <protection/>
    </xf>
    <xf numFmtId="171" fontId="106" fillId="55" borderId="31" xfId="0" applyNumberFormat="1" applyFont="1" applyFill="1" applyBorder="1" applyAlignment="1">
      <alignment horizontal="center"/>
    </xf>
    <xf numFmtId="3" fontId="106" fillId="55" borderId="44" xfId="0" applyNumberFormat="1" applyFont="1" applyFill="1" applyBorder="1" applyAlignment="1">
      <alignment horizontal="center"/>
    </xf>
    <xf numFmtId="3" fontId="2" fillId="0" borderId="24" xfId="362" applyNumberFormat="1" applyFont="1" applyFill="1" applyBorder="1" applyAlignment="1">
      <alignment horizontal="center" vertical="center"/>
      <protection/>
    </xf>
    <xf numFmtId="171" fontId="106" fillId="55" borderId="33" xfId="0" applyNumberFormat="1" applyFont="1" applyFill="1" applyBorder="1" applyAlignment="1">
      <alignment horizontal="center"/>
    </xf>
    <xf numFmtId="171" fontId="106" fillId="55" borderId="45" xfId="0" applyNumberFormat="1" applyFont="1" applyFill="1" applyBorder="1" applyAlignment="1">
      <alignment horizontal="center"/>
    </xf>
    <xf numFmtId="3" fontId="106" fillId="55" borderId="46" xfId="0" applyNumberFormat="1" applyFont="1" applyFill="1" applyBorder="1" applyAlignment="1">
      <alignment horizontal="center"/>
    </xf>
    <xf numFmtId="171" fontId="106" fillId="55" borderId="47" xfId="0" applyNumberFormat="1" applyFont="1" applyFill="1" applyBorder="1" applyAlignment="1">
      <alignment horizontal="center"/>
    </xf>
    <xf numFmtId="3" fontId="106" fillId="55" borderId="48" xfId="0" applyNumberFormat="1" applyFont="1" applyFill="1" applyBorder="1" applyAlignment="1">
      <alignment horizontal="center"/>
    </xf>
    <xf numFmtId="3" fontId="2" fillId="0" borderId="22" xfId="362" applyNumberFormat="1" applyFont="1" applyFill="1" applyBorder="1" applyAlignment="1">
      <alignment horizontal="center" vertical="center"/>
      <protection/>
    </xf>
    <xf numFmtId="3" fontId="106" fillId="55" borderId="33" xfId="0" applyNumberFormat="1" applyFont="1" applyFill="1" applyBorder="1" applyAlignment="1">
      <alignment horizontal="center"/>
    </xf>
    <xf numFmtId="3" fontId="106" fillId="55" borderId="49" xfId="0" applyNumberFormat="1" applyFont="1" applyFill="1" applyBorder="1" applyAlignment="1">
      <alignment horizontal="center"/>
    </xf>
    <xf numFmtId="3" fontId="105" fillId="55" borderId="44" xfId="0" applyNumberFormat="1" applyFont="1" applyFill="1" applyBorder="1" applyAlignment="1">
      <alignment horizontal="center"/>
    </xf>
    <xf numFmtId="3" fontId="105" fillId="55" borderId="33" xfId="0" applyNumberFormat="1" applyFont="1" applyFill="1" applyBorder="1" applyAlignment="1">
      <alignment horizontal="center"/>
    </xf>
    <xf numFmtId="3" fontId="105" fillId="55" borderId="45" xfId="0" applyNumberFormat="1" applyFont="1" applyFill="1" applyBorder="1" applyAlignment="1">
      <alignment horizontal="center"/>
    </xf>
    <xf numFmtId="3" fontId="105" fillId="55" borderId="48" xfId="0" applyNumberFormat="1" applyFont="1" applyFill="1" applyBorder="1" applyAlignment="1">
      <alignment horizontal="center"/>
    </xf>
    <xf numFmtId="3" fontId="105" fillId="55" borderId="49" xfId="0" applyNumberFormat="1" applyFont="1" applyFill="1" applyBorder="1" applyAlignment="1">
      <alignment horizontal="center"/>
    </xf>
    <xf numFmtId="171" fontId="105" fillId="55" borderId="50" xfId="0" applyNumberFormat="1" applyFont="1" applyFill="1" applyBorder="1" applyAlignment="1">
      <alignment horizontal="center"/>
    </xf>
    <xf numFmtId="0" fontId="106" fillId="55" borderId="51" xfId="0" applyNumberFormat="1" applyFont="1" applyFill="1" applyBorder="1" applyAlignment="1">
      <alignment horizontal="left"/>
    </xf>
    <xf numFmtId="0" fontId="106" fillId="55" borderId="52" xfId="0" applyNumberFormat="1" applyFont="1" applyFill="1" applyBorder="1" applyAlignment="1">
      <alignment horizontal="left"/>
    </xf>
    <xf numFmtId="0" fontId="106" fillId="55" borderId="53" xfId="0" applyNumberFormat="1" applyFont="1" applyFill="1" applyBorder="1" applyAlignment="1">
      <alignment horizontal="left"/>
    </xf>
    <xf numFmtId="0" fontId="105" fillId="55" borderId="51" xfId="0" applyNumberFormat="1" applyFont="1" applyFill="1" applyBorder="1" applyAlignment="1">
      <alignment horizontal="left"/>
    </xf>
    <xf numFmtId="0" fontId="105" fillId="55" borderId="53" xfId="0" applyNumberFormat="1" applyFont="1" applyFill="1" applyBorder="1" applyAlignment="1">
      <alignment horizontal="left"/>
    </xf>
    <xf numFmtId="9" fontId="119" fillId="55" borderId="0" xfId="382" applyFont="1" applyFill="1" applyAlignment="1">
      <alignment horizontal="center"/>
    </xf>
    <xf numFmtId="0" fontId="2" fillId="0" borderId="0" xfId="362" applyFont="1" applyFill="1" applyAlignment="1">
      <alignment horizontal="center"/>
      <protection/>
    </xf>
    <xf numFmtId="3" fontId="106" fillId="55" borderId="54" xfId="0" applyNumberFormat="1" applyFont="1" applyFill="1" applyBorder="1" applyAlignment="1">
      <alignment/>
    </xf>
    <xf numFmtId="3" fontId="106" fillId="55" borderId="55" xfId="0" applyNumberFormat="1" applyFont="1" applyFill="1" applyBorder="1" applyAlignment="1">
      <alignment/>
    </xf>
    <xf numFmtId="171" fontId="106" fillId="55" borderId="56" xfId="0" applyNumberFormat="1" applyFont="1" applyFill="1" applyBorder="1" applyAlignment="1">
      <alignment horizontal="right"/>
    </xf>
    <xf numFmtId="0" fontId="106" fillId="55" borderId="57" xfId="0" applyFont="1" applyFill="1" applyBorder="1" applyAlignment="1">
      <alignment/>
    </xf>
    <xf numFmtId="3" fontId="106" fillId="55" borderId="57" xfId="0" applyNumberFormat="1" applyFont="1" applyFill="1" applyBorder="1" applyAlignment="1">
      <alignment/>
    </xf>
    <xf numFmtId="3" fontId="106" fillId="55" borderId="58" xfId="0" applyNumberFormat="1" applyFont="1" applyFill="1" applyBorder="1" applyAlignment="1">
      <alignment/>
    </xf>
    <xf numFmtId="171" fontId="106" fillId="55" borderId="59" xfId="0" applyNumberFormat="1" applyFont="1" applyFill="1" applyBorder="1" applyAlignment="1">
      <alignment horizontal="right"/>
    </xf>
    <xf numFmtId="0" fontId="24" fillId="55" borderId="0" xfId="362" applyFont="1" applyFill="1" applyAlignment="1">
      <alignment wrapText="1"/>
      <protection/>
    </xf>
    <xf numFmtId="0" fontId="106" fillId="55" borderId="58" xfId="0" applyNumberFormat="1" applyFont="1" applyFill="1" applyBorder="1" applyAlignment="1">
      <alignment/>
    </xf>
    <xf numFmtId="0" fontId="26" fillId="55" borderId="0" xfId="0" applyFont="1" applyFill="1" applyBorder="1" applyAlignment="1">
      <alignment horizontal="left"/>
    </xf>
    <xf numFmtId="3" fontId="106" fillId="0" borderId="41" xfId="0" applyNumberFormat="1" applyFont="1" applyFill="1" applyBorder="1" applyAlignment="1">
      <alignment horizontal="center"/>
    </xf>
    <xf numFmtId="3" fontId="106" fillId="0" borderId="38" xfId="0" applyNumberFormat="1" applyFont="1" applyFill="1" applyBorder="1" applyAlignment="1">
      <alignment horizontal="center"/>
    </xf>
    <xf numFmtId="165" fontId="33" fillId="55" borderId="36" xfId="336" applyNumberFormat="1" applyFont="1" applyFill="1" applyBorder="1" applyAlignment="1">
      <alignment horizontal="right" vertical="center" wrapText="1"/>
    </xf>
    <xf numFmtId="0" fontId="106" fillId="55" borderId="58" xfId="0" applyFont="1" applyFill="1" applyBorder="1" applyAlignment="1">
      <alignment/>
    </xf>
    <xf numFmtId="0" fontId="2" fillId="0" borderId="0" xfId="362" applyFont="1" applyFill="1">
      <alignment/>
      <protection/>
    </xf>
    <xf numFmtId="0" fontId="2" fillId="55" borderId="0" xfId="366" applyFont="1" applyFill="1" applyBorder="1">
      <alignment/>
      <protection/>
    </xf>
    <xf numFmtId="0" fontId="126" fillId="55" borderId="0" xfId="286" applyFont="1" applyFill="1" applyAlignment="1">
      <alignment/>
    </xf>
    <xf numFmtId="177" fontId="118" fillId="55" borderId="0" xfId="382" applyNumberFormat="1" applyFont="1" applyFill="1" applyAlignment="1">
      <alignment/>
    </xf>
    <xf numFmtId="0" fontId="118" fillId="55" borderId="0" xfId="362" applyFont="1" applyFill="1" applyAlignment="1">
      <alignment horizontal="center"/>
      <protection/>
    </xf>
    <xf numFmtId="0" fontId="127" fillId="55" borderId="0" xfId="362" applyFont="1" applyFill="1" applyBorder="1" applyAlignment="1">
      <alignment horizontal="center"/>
      <protection/>
    </xf>
    <xf numFmtId="0" fontId="118" fillId="55" borderId="0" xfId="362" applyFont="1" applyFill="1" applyBorder="1">
      <alignment/>
      <protection/>
    </xf>
    <xf numFmtId="0" fontId="127" fillId="55" borderId="0" xfId="362" applyFont="1" applyFill="1" applyBorder="1" applyAlignment="1">
      <alignment horizontal="center" vertical="center" wrapText="1"/>
      <protection/>
    </xf>
    <xf numFmtId="0" fontId="106" fillId="55" borderId="55" xfId="0" applyFont="1" applyFill="1" applyBorder="1" applyAlignment="1">
      <alignment/>
    </xf>
    <xf numFmtId="171" fontId="22" fillId="0" borderId="20" xfId="351" applyNumberFormat="1" applyFont="1" applyFill="1" applyBorder="1" applyAlignment="1">
      <alignment horizontal="center" vertical="center" wrapText="1"/>
      <protection/>
    </xf>
    <xf numFmtId="164" fontId="122" fillId="0" borderId="36" xfId="336" applyNumberFormat="1" applyFont="1" applyFill="1" applyBorder="1" applyAlignment="1">
      <alignment horizontal="center" vertical="center" wrapText="1"/>
    </xf>
    <xf numFmtId="0" fontId="118" fillId="55" borderId="0" xfId="0" applyFont="1" applyFill="1" applyAlignment="1">
      <alignment/>
    </xf>
    <xf numFmtId="0" fontId="127" fillId="55" borderId="0" xfId="0" applyFont="1" applyFill="1" applyAlignment="1">
      <alignment horizontal="center" vertical="center" wrapText="1"/>
    </xf>
    <xf numFmtId="3" fontId="118" fillId="55" borderId="0" xfId="0" applyNumberFormat="1" applyFont="1" applyFill="1" applyAlignment="1">
      <alignment/>
    </xf>
    <xf numFmtId="43" fontId="118" fillId="55" borderId="0" xfId="300" applyFont="1" applyFill="1" applyAlignment="1">
      <alignment/>
    </xf>
    <xf numFmtId="176" fontId="106" fillId="55" borderId="51" xfId="0" applyNumberFormat="1" applyFont="1" applyFill="1" applyBorder="1" applyAlignment="1">
      <alignment horizontal="left"/>
    </xf>
    <xf numFmtId="3" fontId="106" fillId="55" borderId="45" xfId="0" applyNumberFormat="1" applyFont="1" applyFill="1" applyBorder="1" applyAlignment="1">
      <alignment horizontal="center"/>
    </xf>
    <xf numFmtId="3" fontId="118" fillId="55" borderId="0" xfId="0" applyNumberFormat="1" applyFont="1" applyFill="1" applyAlignment="1">
      <alignment horizontal="center"/>
    </xf>
    <xf numFmtId="9" fontId="118" fillId="55" borderId="0" xfId="382" applyFont="1" applyFill="1" applyAlignment="1">
      <alignment horizontal="center"/>
    </xf>
    <xf numFmtId="0" fontId="127" fillId="56" borderId="0" xfId="0" applyFont="1" applyFill="1" applyBorder="1" applyAlignment="1">
      <alignment horizontal="center" vertical="center"/>
    </xf>
    <xf numFmtId="0" fontId="127" fillId="55" borderId="0" xfId="0" applyFont="1" applyFill="1" applyAlignment="1">
      <alignment horizontal="right"/>
    </xf>
    <xf numFmtId="0" fontId="22" fillId="55" borderId="0" xfId="366" applyFont="1" applyFill="1" applyBorder="1" applyAlignment="1">
      <alignment horizontal="center" vertical="center"/>
      <protection/>
    </xf>
    <xf numFmtId="0" fontId="22" fillId="55" borderId="0" xfId="362" applyFont="1" applyFill="1" applyBorder="1" applyAlignment="1">
      <alignment horizontal="center" vertical="center"/>
      <protection/>
    </xf>
    <xf numFmtId="0" fontId="83" fillId="0" borderId="0" xfId="0" applyFont="1" applyAlignment="1">
      <alignment/>
    </xf>
    <xf numFmtId="0" fontId="127" fillId="55" borderId="0" xfId="0" applyFont="1" applyFill="1" applyAlignment="1">
      <alignment horizontal="center" vertical="center"/>
    </xf>
    <xf numFmtId="0" fontId="83" fillId="55" borderId="0" xfId="0" applyFont="1" applyFill="1" applyAlignment="1">
      <alignment/>
    </xf>
    <xf numFmtId="9" fontId="83" fillId="55" borderId="0" xfId="382" applyFont="1" applyFill="1" applyAlignment="1">
      <alignment vertical="center"/>
    </xf>
    <xf numFmtId="3" fontId="118" fillId="55" borderId="0" xfId="0" applyNumberFormat="1" applyFont="1" applyFill="1" applyAlignment="1">
      <alignment vertical="center"/>
    </xf>
    <xf numFmtId="43" fontId="118" fillId="55" borderId="0" xfId="300" applyFont="1" applyFill="1" applyAlignment="1">
      <alignment vertical="center"/>
    </xf>
    <xf numFmtId="1" fontId="83" fillId="55" borderId="0" xfId="0" applyNumberFormat="1" applyFont="1" applyFill="1" applyAlignment="1">
      <alignment vertical="center"/>
    </xf>
    <xf numFmtId="9" fontId="83" fillId="55" borderId="0" xfId="382" applyFont="1" applyFill="1" applyAlignment="1">
      <alignment horizontal="center" vertical="center"/>
    </xf>
    <xf numFmtId="0" fontId="83" fillId="55" borderId="0" xfId="0" applyFont="1" applyFill="1" applyAlignment="1">
      <alignment vertical="center"/>
    </xf>
    <xf numFmtId="0" fontId="118" fillId="55" borderId="0" xfId="0" applyFont="1" applyFill="1" applyAlignment="1">
      <alignment vertical="center"/>
    </xf>
    <xf numFmtId="0" fontId="105" fillId="55" borderId="23" xfId="0" applyFont="1" applyFill="1" applyBorder="1" applyAlignment="1">
      <alignment horizontal="left" vertical="center"/>
    </xf>
    <xf numFmtId="0" fontId="105" fillId="55" borderId="37" xfId="0" applyFont="1" applyFill="1" applyBorder="1" applyAlignment="1">
      <alignment horizontal="left" vertical="center"/>
    </xf>
    <xf numFmtId="0" fontId="127" fillId="55" borderId="0" xfId="0" applyFont="1" applyFill="1" applyBorder="1" applyAlignment="1">
      <alignment horizontal="center" vertical="center" wrapText="1"/>
    </xf>
    <xf numFmtId="177" fontId="118" fillId="55" borderId="0" xfId="382" applyNumberFormat="1" applyFont="1" applyFill="1" applyAlignment="1">
      <alignment horizontal="center"/>
    </xf>
    <xf numFmtId="0" fontId="118" fillId="55" borderId="0" xfId="0" applyFont="1" applyFill="1" applyAlignment="1">
      <alignment horizontal="right"/>
    </xf>
    <xf numFmtId="9" fontId="118" fillId="55" borderId="0" xfId="0" applyNumberFormat="1" applyFont="1" applyFill="1" applyAlignment="1">
      <alignment horizontal="center"/>
    </xf>
    <xf numFmtId="0" fontId="118" fillId="55" borderId="0" xfId="0" applyFont="1" applyFill="1" applyAlignment="1">
      <alignment horizontal="center"/>
    </xf>
    <xf numFmtId="0" fontId="128" fillId="55" borderId="0" xfId="286" applyFont="1" applyFill="1" applyAlignment="1">
      <alignment/>
    </xf>
    <xf numFmtId="179" fontId="118" fillId="55" borderId="0" xfId="300" applyNumberFormat="1" applyFont="1" applyFill="1" applyAlignment="1">
      <alignment horizontal="center"/>
    </xf>
    <xf numFmtId="177" fontId="127" fillId="55" borderId="0" xfId="0" applyNumberFormat="1" applyFont="1" applyFill="1" applyAlignment="1">
      <alignment horizontal="center"/>
    </xf>
    <xf numFmtId="9" fontId="118" fillId="55" borderId="0" xfId="382" applyFont="1" applyFill="1" applyAlignment="1">
      <alignment/>
    </xf>
    <xf numFmtId="17" fontId="121" fillId="55" borderId="0" xfId="0" applyNumberFormat="1" applyFont="1" applyFill="1" applyAlignment="1" quotePrefix="1">
      <alignment horizontal="center"/>
    </xf>
    <xf numFmtId="0" fontId="121" fillId="55" borderId="0" xfId="0" applyFont="1" applyFill="1" applyAlignment="1">
      <alignment horizontal="center"/>
    </xf>
    <xf numFmtId="0" fontId="38" fillId="55" borderId="0" xfId="362" applyFont="1" applyFill="1" applyBorder="1" applyAlignment="1">
      <alignment horizontal="left" vertical="top" wrapText="1" indent="3"/>
      <protection/>
    </xf>
    <xf numFmtId="0" fontId="37" fillId="55" borderId="0" xfId="362" applyFont="1" applyFill="1" applyBorder="1" applyAlignment="1">
      <alignment horizontal="center" vertical="center"/>
      <protection/>
    </xf>
    <xf numFmtId="0" fontId="38"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0" xfId="366" applyFont="1" applyFill="1" applyBorder="1" applyAlignment="1">
      <alignment horizontal="center" vertical="center"/>
      <protection/>
    </xf>
    <xf numFmtId="0" fontId="2" fillId="55" borderId="0" xfId="366" applyFont="1" applyFill="1" applyBorder="1" applyAlignment="1">
      <alignment horizontal="left" vertical="top" wrapText="1"/>
      <protection/>
    </xf>
    <xf numFmtId="0" fontId="2" fillId="55" borderId="30" xfId="362" applyFont="1" applyFill="1" applyBorder="1" applyAlignment="1">
      <alignment horizontal="left" vertical="center" wrapText="1"/>
      <protection/>
    </xf>
    <xf numFmtId="0" fontId="22" fillId="55" borderId="20" xfId="362" applyFont="1" applyFill="1" applyBorder="1" applyAlignment="1">
      <alignment horizontal="center"/>
      <protection/>
    </xf>
    <xf numFmtId="0" fontId="22" fillId="55" borderId="3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 fillId="55" borderId="24" xfId="0" applyFont="1" applyFill="1" applyBorder="1" applyAlignment="1">
      <alignment horizontal="left" vertical="center" wrapText="1"/>
    </xf>
    <xf numFmtId="0" fontId="2" fillId="55" borderId="24" xfId="0" applyFont="1" applyFill="1" applyBorder="1" applyAlignment="1">
      <alignment horizontal="left" vertical="center" wrapText="1"/>
    </xf>
    <xf numFmtId="0" fontId="2"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5" xfId="362" applyFont="1" applyFill="1" applyBorder="1" applyAlignment="1">
      <alignment horizontal="center" vertical="center"/>
      <protection/>
    </xf>
    <xf numFmtId="0" fontId="22" fillId="55" borderId="60"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8" xfId="362" applyFont="1" applyFill="1" applyBorder="1" applyAlignment="1">
      <alignment horizontal="center" vertical="center"/>
      <protection/>
    </xf>
    <xf numFmtId="0" fontId="22" fillId="55" borderId="21" xfId="362" applyFont="1" applyFill="1" applyBorder="1" applyAlignment="1">
      <alignment horizontal="center" vertical="center"/>
      <protection/>
    </xf>
    <xf numFmtId="0" fontId="22" fillId="55" borderId="29" xfId="362" applyFont="1" applyFill="1" applyBorder="1" applyAlignment="1">
      <alignment horizontal="center" vertical="center"/>
      <protection/>
    </xf>
    <xf numFmtId="0" fontId="105" fillId="56" borderId="36" xfId="0" applyFont="1" applyFill="1" applyBorder="1" applyAlignment="1">
      <alignment horizontal="center"/>
    </xf>
    <xf numFmtId="0" fontId="24" fillId="55" borderId="0" xfId="366" applyFont="1" applyFill="1" applyAlignment="1">
      <alignment horizontal="left" wrapText="1"/>
      <protection/>
    </xf>
    <xf numFmtId="0" fontId="22" fillId="55" borderId="0" xfId="366" applyFont="1" applyFill="1" applyBorder="1" applyAlignment="1">
      <alignment horizontal="center"/>
      <protection/>
    </xf>
    <xf numFmtId="0" fontId="22" fillId="55" borderId="3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3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2" fillId="55" borderId="24" xfId="362" applyFont="1" applyFill="1" applyBorder="1" applyAlignment="1">
      <alignment horizontal="center" vertical="center" wrapText="1"/>
      <protection/>
    </xf>
    <xf numFmtId="0" fontId="22" fillId="55" borderId="22" xfId="362" applyFont="1" applyFill="1" applyBorder="1" applyAlignment="1">
      <alignment horizontal="center" vertical="center" wrapText="1"/>
      <protection/>
    </xf>
    <xf numFmtId="0" fontId="2" fillId="55" borderId="24" xfId="362" applyFont="1" applyFill="1" applyBorder="1" applyAlignment="1">
      <alignment horizontal="left" vertical="center" wrapText="1"/>
      <protection/>
    </xf>
    <xf numFmtId="0" fontId="2" fillId="55" borderId="24" xfId="362" applyFont="1" applyFill="1" applyBorder="1" applyAlignment="1">
      <alignment horizontal="left" vertical="center"/>
      <protection/>
    </xf>
    <xf numFmtId="0" fontId="22" fillId="55" borderId="3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2" fillId="55" borderId="24" xfId="362" applyNumberFormat="1" applyFont="1" applyFill="1" applyBorder="1" applyAlignment="1">
      <alignment horizontal="left" vertical="center" wrapText="1"/>
      <protection/>
    </xf>
    <xf numFmtId="0" fontId="2" fillId="55" borderId="24" xfId="362" applyNumberFormat="1" applyFont="1" applyFill="1" applyBorder="1" applyAlignment="1">
      <alignment horizontal="left" vertical="center"/>
      <protection/>
    </xf>
    <xf numFmtId="173" fontId="22" fillId="55" borderId="60" xfId="300" applyNumberFormat="1" applyFont="1" applyFill="1" applyBorder="1" applyAlignment="1">
      <alignment horizontal="center" vertical="center"/>
    </xf>
    <xf numFmtId="173" fontId="22" fillId="55" borderId="42" xfId="300" applyNumberFormat="1" applyFont="1" applyFill="1" applyBorder="1" applyAlignment="1">
      <alignment horizontal="center" vertical="center"/>
    </xf>
    <xf numFmtId="0" fontId="127" fillId="57" borderId="28" xfId="0" applyFont="1" applyFill="1" applyBorder="1" applyAlignment="1">
      <alignment horizontal="center" wrapText="1"/>
    </xf>
    <xf numFmtId="0" fontId="127" fillId="57" borderId="21" xfId="0" applyFont="1" applyFill="1" applyBorder="1" applyAlignment="1">
      <alignment horizontal="center" wrapText="1"/>
    </xf>
    <xf numFmtId="0" fontId="127" fillId="57" borderId="29"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28" xfId="0" applyFont="1" applyFill="1" applyBorder="1" applyAlignment="1">
      <alignment horizontal="center"/>
    </xf>
    <xf numFmtId="0" fontId="22" fillId="55" borderId="21" xfId="0" applyFont="1" applyFill="1" applyBorder="1" applyAlignment="1">
      <alignment horizontal="center"/>
    </xf>
    <xf numFmtId="0" fontId="22" fillId="55" borderId="29" xfId="0" applyFont="1" applyFill="1" applyBorder="1" applyAlignment="1">
      <alignment horizontal="center"/>
    </xf>
    <xf numFmtId="0" fontId="106" fillId="55" borderId="0" xfId="0" applyFont="1" applyFill="1" applyBorder="1" applyAlignment="1">
      <alignment horizontal="left"/>
    </xf>
    <xf numFmtId="0" fontId="106" fillId="55" borderId="0" xfId="0" applyFont="1" applyFill="1" applyBorder="1" applyAlignment="1">
      <alignment horizontal="left" wrapText="1"/>
    </xf>
    <xf numFmtId="0" fontId="106" fillId="55" borderId="36" xfId="0" applyFont="1" applyFill="1" applyBorder="1" applyAlignment="1">
      <alignment horizontal="left" vertical="center" wrapText="1"/>
    </xf>
    <xf numFmtId="0" fontId="105" fillId="55" borderId="0" xfId="0" applyFont="1" applyFill="1" applyBorder="1" applyAlignment="1">
      <alignment horizontal="center"/>
    </xf>
    <xf numFmtId="0" fontId="105" fillId="55" borderId="28" xfId="0" applyFont="1" applyFill="1" applyBorder="1" applyAlignment="1">
      <alignment horizontal="center"/>
    </xf>
    <xf numFmtId="0" fontId="105" fillId="55" borderId="21" xfId="0" applyFont="1" applyFill="1" applyBorder="1" applyAlignment="1">
      <alignment horizontal="center"/>
    </xf>
    <xf numFmtId="0" fontId="105" fillId="55" borderId="29" xfId="0" applyFont="1" applyFill="1" applyBorder="1" applyAlignment="1">
      <alignment horizontal="center"/>
    </xf>
    <xf numFmtId="0" fontId="105" fillId="55" borderId="35" xfId="0" applyFont="1" applyFill="1" applyBorder="1" applyAlignment="1">
      <alignment horizontal="left" vertical="center"/>
    </xf>
    <xf numFmtId="0" fontId="105" fillId="55" borderId="42" xfId="0" applyFont="1" applyFill="1" applyBorder="1" applyAlignment="1">
      <alignment horizontal="left" vertical="center"/>
    </xf>
    <xf numFmtId="0" fontId="105" fillId="55" borderId="25" xfId="0" applyFont="1" applyFill="1" applyBorder="1" applyAlignment="1">
      <alignment horizontal="left" vertical="center"/>
    </xf>
    <xf numFmtId="0" fontId="105" fillId="55" borderId="38" xfId="0" applyFont="1" applyFill="1" applyBorder="1" applyAlignment="1">
      <alignment horizontal="left" vertical="center"/>
    </xf>
    <xf numFmtId="0" fontId="106" fillId="55" borderId="60" xfId="0" applyFont="1" applyFill="1" applyBorder="1" applyAlignment="1">
      <alignment horizontal="left" vertical="center" wrapText="1"/>
    </xf>
    <xf numFmtId="0" fontId="26" fillId="55" borderId="0" xfId="0" applyFont="1" applyFill="1" applyBorder="1" applyAlignment="1">
      <alignment horizontal="left"/>
    </xf>
    <xf numFmtId="0" fontId="108" fillId="55" borderId="0" xfId="0" applyFont="1" applyFill="1" applyBorder="1" applyAlignment="1">
      <alignment horizontal="left"/>
    </xf>
    <xf numFmtId="0" fontId="106" fillId="55" borderId="35" xfId="0" applyFont="1" applyFill="1" applyBorder="1" applyAlignment="1">
      <alignment horizontal="left" vertical="center" wrapText="1"/>
    </xf>
    <xf numFmtId="0" fontId="106" fillId="55" borderId="42" xfId="0" applyFont="1" applyFill="1" applyBorder="1" applyAlignment="1">
      <alignment horizontal="left" vertical="center" wrapText="1"/>
    </xf>
    <xf numFmtId="0" fontId="105" fillId="55" borderId="35" xfId="0" applyFont="1" applyFill="1" applyBorder="1" applyAlignment="1">
      <alignment horizontal="center" vertical="center"/>
    </xf>
    <xf numFmtId="0" fontId="105" fillId="55" borderId="60" xfId="0" applyFont="1" applyFill="1" applyBorder="1" applyAlignment="1">
      <alignment horizontal="center" vertical="center"/>
    </xf>
    <xf numFmtId="0" fontId="106" fillId="55" borderId="23" xfId="0" applyFont="1" applyFill="1" applyBorder="1" applyAlignment="1">
      <alignment horizontal="left" vertical="center" wrapText="1"/>
    </xf>
    <xf numFmtId="0" fontId="106" fillId="55" borderId="37" xfId="0" applyFont="1" applyFill="1" applyBorder="1" applyAlignment="1">
      <alignment horizontal="left" vertical="center" wrapText="1"/>
    </xf>
    <xf numFmtId="0" fontId="106" fillId="55" borderId="35" xfId="0" applyFont="1" applyFill="1" applyBorder="1" applyAlignment="1">
      <alignment horizontal="left" vertical="center"/>
    </xf>
    <xf numFmtId="0" fontId="106" fillId="55" borderId="60" xfId="0" applyFont="1" applyFill="1" applyBorder="1" applyAlignment="1">
      <alignment horizontal="left" vertical="center"/>
    </xf>
    <xf numFmtId="0" fontId="106" fillId="55" borderId="42" xfId="0" applyFont="1" applyFill="1" applyBorder="1" applyAlignment="1">
      <alignment horizontal="left" vertical="center"/>
    </xf>
    <xf numFmtId="0" fontId="106" fillId="55" borderId="26" xfId="0" applyFont="1" applyFill="1" applyBorder="1" applyAlignment="1">
      <alignment horizontal="left" vertical="center" wrapText="1"/>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45">
    <dxf>
      <font>
        <color theme="4" tint="-0.24993999302387238"/>
      </font>
      <fill>
        <patternFill>
          <bgColor theme="8" tint="0.7999799847602844"/>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4" tint="-0.24993999302387238"/>
      </font>
      <fill>
        <patternFill>
          <bgColor theme="8" tint="0.7999799847602844"/>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ont>
        <color rgb="FF006100"/>
      </font>
      <fill>
        <patternFill>
          <bgColor rgb="FFC6EFCE"/>
        </patternFill>
      </fill>
      <border/>
    </dxf>
    <dxf>
      <font>
        <color rgb="FF9C0006"/>
      </font>
      <fill>
        <patternFill>
          <bgColor rgb="FFFFC7CE"/>
        </patternFill>
      </fill>
      <border/>
    </dxf>
    <dxf>
      <font>
        <color theme="4" tint="-0.24993999302387238"/>
      </font>
      <fill>
        <patternFill>
          <bgColor theme="8" tint="0.7999799847602844"/>
        </patternFill>
      </fill>
      <border/>
    </dxf>
  </dxfs>
  <tableStyles count="1" defaultTableStyle="TableStyleMedium2" defaultPivotStyle="PivotStyleLight16">
    <tableStyle name="PivotStyleLight16 2" table="0" count="11">
      <tableStyleElement type="headerRow" dxfId="41"/>
      <tableStyleElement type="totalRow" dxfId="40"/>
      <tableStyleElement type="firstRowStripe" dxfId="39"/>
      <tableStyleElement type="firstColumnStripe" dxfId="38"/>
      <tableStyleElement type="firstSubtotalColumn" dxfId="37"/>
      <tableStyleElement type="firstSubtotalRow" dxfId="36"/>
      <tableStyleElement type="secondSubtotalRow" dxfId="35"/>
      <tableStyleElement type="firstRowSubheading" dxfId="34"/>
      <tableStyleElement type="secondRowSubheading" dxfId="33"/>
      <tableStyleElement type="pageFieldLabels" dxfId="32"/>
      <tableStyleElement type="pageFieldValues" dxfId="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625"/>
          <c:w val="0.88825"/>
          <c:h val="0.886"/>
        </c:manualLayout>
      </c:layout>
      <c:lineChart>
        <c:grouping val="standard"/>
        <c:varyColors val="0"/>
        <c:ser>
          <c:idx val="0"/>
          <c:order val="0"/>
          <c:tx>
            <c:strRef>
              <c:f>'precio mayorista'!$C$7</c:f>
              <c:strCache>
                <c:ptCount val="1"/>
                <c:pt idx="0">
                  <c:v>2015</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2016</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2017</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65743761"/>
        <c:axId val="54822938"/>
      </c:lineChart>
      <c:catAx>
        <c:axId val="6574376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54822938"/>
        <c:crosses val="autoZero"/>
        <c:auto val="1"/>
        <c:lblOffset val="100"/>
        <c:tickLblSkip val="1"/>
        <c:noMultiLvlLbl val="0"/>
      </c:catAx>
      <c:valAx>
        <c:axId val="54822938"/>
        <c:scaling>
          <c:orientation val="minMax"/>
          <c:min val="10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5743761"/>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25"/>
          <c:y val="0.07475"/>
          <c:w val="0.946"/>
          <c:h val="0.84525"/>
        </c:manualLayout>
      </c:layout>
      <c:barChart>
        <c:barDir val="col"/>
        <c:grouping val="clustered"/>
        <c:varyColors val="0"/>
        <c:ser>
          <c:idx val="0"/>
          <c:order val="0"/>
          <c:tx>
            <c:strRef>
              <c:f>'rend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1"/>
          <c:order val="1"/>
          <c:tx>
            <c:strRef>
              <c:f>'rend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ser>
          <c:idx val="2"/>
          <c:order val="2"/>
          <c:tx>
            <c:strRef>
              <c:f>'rend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región'!$C$23:$K$23</c:f>
              <c:numCache/>
            </c:numRef>
          </c:val>
        </c:ser>
        <c:overlap val="-27"/>
        <c:gapWidth val="219"/>
        <c:axId val="25100981"/>
        <c:axId val="24582238"/>
      </c:barChart>
      <c:catAx>
        <c:axId val="251009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4582238"/>
        <c:crosses val="autoZero"/>
        <c:auto val="1"/>
        <c:lblOffset val="100"/>
        <c:tickLblSkip val="1"/>
        <c:noMultiLvlLbl val="0"/>
      </c:catAx>
      <c:valAx>
        <c:axId val="24582238"/>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25100981"/>
        <c:crossesAt val="1"/>
        <c:crossBetween val="between"/>
        <c:dispUnits/>
      </c:valAx>
      <c:spPr>
        <a:noFill/>
        <a:ln>
          <a:noFill/>
        </a:ln>
      </c:spPr>
    </c:plotArea>
    <c:legend>
      <c:legendPos val="r"/>
      <c:layout>
        <c:manualLayout>
          <c:xMode val="edge"/>
          <c:yMode val="edge"/>
          <c:x val="0.38025"/>
          <c:y val="0.927"/>
          <c:w val="0.2382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4 de septiembre al 29 de diciembre de 2017 
</a:t>
            </a:r>
            <a:r>
              <a:rPr lang="en-US" cap="none" sz="1000" b="1" i="0" u="none" baseline="0">
                <a:solidFill>
                  <a:srgbClr val="000000"/>
                </a:solidFill>
              </a:rPr>
              <a:t>(en $/25 kilos sin IVA)</a:t>
            </a:r>
          </a:p>
        </c:rich>
      </c:tx>
      <c:layout>
        <c:manualLayout>
          <c:xMode val="factor"/>
          <c:yMode val="factor"/>
          <c:x val="-0.00125"/>
          <c:y val="-0.01175"/>
        </c:manualLayout>
      </c:layout>
      <c:spPr>
        <a:noFill/>
        <a:ln w="3175">
          <a:noFill/>
        </a:ln>
      </c:spPr>
    </c:title>
    <c:plotArea>
      <c:layout>
        <c:manualLayout>
          <c:xMode val="edge"/>
          <c:yMode val="edge"/>
          <c:x val="0.03775"/>
          <c:y val="0.12625"/>
          <c:w val="0.9525"/>
          <c:h val="0.833"/>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prstDash val="sysDot"/>
              </a:ln>
            </c:spPr>
            <c:trendlineType val="poly"/>
            <c:order val="3"/>
            <c:dispEq val="0"/>
            <c:dispRSqr val="0"/>
          </c:trendline>
          <c:cat>
            <c:numRef>
              <c:f>'[2]serie de precios saco 25 kg'!$A$3:$A$74</c:f>
              <c:numCache>
                <c:ptCount val="72"/>
                <c:pt idx="0">
                  <c:v>42982</c:v>
                </c:pt>
                <c:pt idx="1">
                  <c:v>42984</c:v>
                </c:pt>
                <c:pt idx="2">
                  <c:v>42991</c:v>
                </c:pt>
                <c:pt idx="3">
                  <c:v>42993</c:v>
                </c:pt>
                <c:pt idx="4">
                  <c:v>42998</c:v>
                </c:pt>
                <c:pt idx="5">
                  <c:v>42999</c:v>
                </c:pt>
                <c:pt idx="6">
                  <c:v>43000</c:v>
                </c:pt>
                <c:pt idx="7">
                  <c:v>43003</c:v>
                </c:pt>
                <c:pt idx="8">
                  <c:v>43004</c:v>
                </c:pt>
                <c:pt idx="9">
                  <c:v>43005</c:v>
                </c:pt>
                <c:pt idx="10">
                  <c:v>43006</c:v>
                </c:pt>
                <c:pt idx="11">
                  <c:v>43007</c:v>
                </c:pt>
                <c:pt idx="12">
                  <c:v>43010</c:v>
                </c:pt>
                <c:pt idx="13">
                  <c:v>43011</c:v>
                </c:pt>
                <c:pt idx="14">
                  <c:v>43012</c:v>
                </c:pt>
                <c:pt idx="15">
                  <c:v>43013</c:v>
                </c:pt>
                <c:pt idx="16">
                  <c:v>43014</c:v>
                </c:pt>
                <c:pt idx="17">
                  <c:v>43018</c:v>
                </c:pt>
                <c:pt idx="18">
                  <c:v>43019</c:v>
                </c:pt>
                <c:pt idx="19">
                  <c:v>43020</c:v>
                </c:pt>
                <c:pt idx="20">
                  <c:v>43021</c:v>
                </c:pt>
                <c:pt idx="21">
                  <c:v>43024</c:v>
                </c:pt>
                <c:pt idx="22">
                  <c:v>43025</c:v>
                </c:pt>
                <c:pt idx="23">
                  <c:v>43026</c:v>
                </c:pt>
                <c:pt idx="24">
                  <c:v>43027</c:v>
                </c:pt>
                <c:pt idx="25">
                  <c:v>43028</c:v>
                </c:pt>
                <c:pt idx="26">
                  <c:v>43031</c:v>
                </c:pt>
                <c:pt idx="27">
                  <c:v>43032</c:v>
                </c:pt>
                <c:pt idx="28">
                  <c:v>43033</c:v>
                </c:pt>
                <c:pt idx="29">
                  <c:v>43034</c:v>
                </c:pt>
                <c:pt idx="30">
                  <c:v>43038</c:v>
                </c:pt>
                <c:pt idx="31">
                  <c:v>43039</c:v>
                </c:pt>
                <c:pt idx="32">
                  <c:v>43041</c:v>
                </c:pt>
                <c:pt idx="33">
                  <c:v>43042</c:v>
                </c:pt>
                <c:pt idx="34">
                  <c:v>43045</c:v>
                </c:pt>
                <c:pt idx="35">
                  <c:v>43046</c:v>
                </c:pt>
                <c:pt idx="36">
                  <c:v>43047</c:v>
                </c:pt>
                <c:pt idx="37">
                  <c:v>43048</c:v>
                </c:pt>
                <c:pt idx="38">
                  <c:v>43049</c:v>
                </c:pt>
                <c:pt idx="39">
                  <c:v>43052</c:v>
                </c:pt>
                <c:pt idx="40">
                  <c:v>43053</c:v>
                </c:pt>
                <c:pt idx="41">
                  <c:v>43054</c:v>
                </c:pt>
                <c:pt idx="42">
                  <c:v>43055</c:v>
                </c:pt>
                <c:pt idx="43">
                  <c:v>43056</c:v>
                </c:pt>
                <c:pt idx="44">
                  <c:v>43059</c:v>
                </c:pt>
                <c:pt idx="45">
                  <c:v>43060</c:v>
                </c:pt>
                <c:pt idx="46">
                  <c:v>43061</c:v>
                </c:pt>
                <c:pt idx="47">
                  <c:v>43062</c:v>
                </c:pt>
                <c:pt idx="48">
                  <c:v>43063</c:v>
                </c:pt>
                <c:pt idx="49">
                  <c:v>43066</c:v>
                </c:pt>
                <c:pt idx="50">
                  <c:v>43067</c:v>
                </c:pt>
                <c:pt idx="51">
                  <c:v>43068</c:v>
                </c:pt>
                <c:pt idx="52">
                  <c:v>43069</c:v>
                </c:pt>
                <c:pt idx="53">
                  <c:v>43070</c:v>
                </c:pt>
                <c:pt idx="54">
                  <c:v>43073</c:v>
                </c:pt>
                <c:pt idx="55">
                  <c:v>43074</c:v>
                </c:pt>
                <c:pt idx="56">
                  <c:v>43075</c:v>
                </c:pt>
                <c:pt idx="57">
                  <c:v>43076</c:v>
                </c:pt>
                <c:pt idx="58">
                  <c:v>43080</c:v>
                </c:pt>
                <c:pt idx="59">
                  <c:v>43081</c:v>
                </c:pt>
                <c:pt idx="60">
                  <c:v>43082</c:v>
                </c:pt>
                <c:pt idx="61">
                  <c:v>43083</c:v>
                </c:pt>
                <c:pt idx="62">
                  <c:v>43084</c:v>
                </c:pt>
                <c:pt idx="63">
                  <c:v>43087</c:v>
                </c:pt>
                <c:pt idx="64">
                  <c:v>43088</c:v>
                </c:pt>
                <c:pt idx="65">
                  <c:v>43089</c:v>
                </c:pt>
                <c:pt idx="66">
                  <c:v>43090</c:v>
                </c:pt>
                <c:pt idx="67">
                  <c:v>43091</c:v>
                </c:pt>
                <c:pt idx="68">
                  <c:v>43095</c:v>
                </c:pt>
                <c:pt idx="69">
                  <c:v>43096</c:v>
                </c:pt>
                <c:pt idx="70">
                  <c:v>43097</c:v>
                </c:pt>
                <c:pt idx="71">
                  <c:v>43098</c:v>
                </c:pt>
              </c:numCache>
            </c:numRef>
          </c:cat>
          <c:val>
            <c:numRef>
              <c:f>'[2]serie de precios saco 25 kg'!$N$3:$N$74</c:f>
              <c:numCache>
                <c:ptCount val="72"/>
                <c:pt idx="0">
                  <c:v>3132.16</c:v>
                </c:pt>
                <c:pt idx="1">
                  <c:v>3133.06</c:v>
                </c:pt>
                <c:pt idx="2">
                  <c:v>3163.92</c:v>
                </c:pt>
                <c:pt idx="3">
                  <c:v>3571.43</c:v>
                </c:pt>
                <c:pt idx="4">
                  <c:v>3276.025</c:v>
                </c:pt>
                <c:pt idx="5">
                  <c:v>3610.898888888889</c:v>
                </c:pt>
                <c:pt idx="6">
                  <c:v>3599.997692307693</c:v>
                </c:pt>
                <c:pt idx="7">
                  <c:v>3860.1149999999993</c:v>
                </c:pt>
                <c:pt idx="8">
                  <c:v>3729.093571428571</c:v>
                </c:pt>
                <c:pt idx="9">
                  <c:v>3798.3500000000004</c:v>
                </c:pt>
                <c:pt idx="10">
                  <c:v>3731.5892307692297</c:v>
                </c:pt>
                <c:pt idx="11">
                  <c:v>3784.0125</c:v>
                </c:pt>
                <c:pt idx="12">
                  <c:v>3633.07</c:v>
                </c:pt>
                <c:pt idx="13">
                  <c:v>3789.1666666666665</c:v>
                </c:pt>
                <c:pt idx="14">
                  <c:v>3653.4400000000005</c:v>
                </c:pt>
                <c:pt idx="15">
                  <c:v>3920.7956250000007</c:v>
                </c:pt>
                <c:pt idx="16">
                  <c:v>3731.3510526315795</c:v>
                </c:pt>
                <c:pt idx="17">
                  <c:v>3448.661818181819</c:v>
                </c:pt>
                <c:pt idx="18">
                  <c:v>3552.231333333334</c:v>
                </c:pt>
                <c:pt idx="19">
                  <c:v>3430.8517647058825</c:v>
                </c:pt>
                <c:pt idx="20">
                  <c:v>3731.8209090909095</c:v>
                </c:pt>
                <c:pt idx="21">
                  <c:v>3691.0964705882357</c:v>
                </c:pt>
                <c:pt idx="22">
                  <c:v>3742.8642105263166</c:v>
                </c:pt>
                <c:pt idx="23">
                  <c:v>3938.875</c:v>
                </c:pt>
                <c:pt idx="24">
                  <c:v>3883.8615789473683</c:v>
                </c:pt>
                <c:pt idx="25">
                  <c:v>3797.701818181819</c:v>
                </c:pt>
                <c:pt idx="26">
                  <c:v>3668.022666666667</c:v>
                </c:pt>
                <c:pt idx="27">
                  <c:v>3583.355</c:v>
                </c:pt>
                <c:pt idx="28">
                  <c:v>3757.6558333333337</c:v>
                </c:pt>
                <c:pt idx="29">
                  <c:v>3893.633529411765</c:v>
                </c:pt>
                <c:pt idx="30">
                  <c:v>3677.53625</c:v>
                </c:pt>
                <c:pt idx="31">
                  <c:v>3867.1880000000006</c:v>
                </c:pt>
                <c:pt idx="32">
                  <c:v>4321.60375</c:v>
                </c:pt>
                <c:pt idx="33">
                  <c:v>4530.700526315789</c:v>
                </c:pt>
                <c:pt idx="34">
                  <c:v>4965.522666666667</c:v>
                </c:pt>
                <c:pt idx="35">
                  <c:v>5186.309500000001</c:v>
                </c:pt>
                <c:pt idx="36">
                  <c:v>5824.971333333333</c:v>
                </c:pt>
                <c:pt idx="37">
                  <c:v>5849.431764705882</c:v>
                </c:pt>
                <c:pt idx="38">
                  <c:v>5586.884210526316</c:v>
                </c:pt>
                <c:pt idx="39">
                  <c:v>5524.6073333333325</c:v>
                </c:pt>
                <c:pt idx="40">
                  <c:v>5920.986818181817</c:v>
                </c:pt>
                <c:pt idx="41">
                  <c:v>5994.088750000001</c:v>
                </c:pt>
                <c:pt idx="42">
                  <c:v>5706.726086956521</c:v>
                </c:pt>
                <c:pt idx="43">
                  <c:v>5723.403333333333</c:v>
                </c:pt>
                <c:pt idx="44">
                  <c:v>5759.59375</c:v>
                </c:pt>
                <c:pt idx="45">
                  <c:v>5719.242857142856</c:v>
                </c:pt>
                <c:pt idx="46">
                  <c:v>6316.195882352943</c:v>
                </c:pt>
                <c:pt idx="47">
                  <c:v>6296.677500000001</c:v>
                </c:pt>
                <c:pt idx="48">
                  <c:v>5805.682222222222</c:v>
                </c:pt>
                <c:pt idx="49">
                  <c:v>5361.7699999999995</c:v>
                </c:pt>
                <c:pt idx="50">
                  <c:v>5838.956470588235</c:v>
                </c:pt>
                <c:pt idx="51">
                  <c:v>6897.150666666668</c:v>
                </c:pt>
                <c:pt idx="52">
                  <c:v>6506.048124999999</c:v>
                </c:pt>
                <c:pt idx="53">
                  <c:v>6363.885555555555</c:v>
                </c:pt>
                <c:pt idx="54">
                  <c:v>6606.193076923078</c:v>
                </c:pt>
                <c:pt idx="55">
                  <c:v>6100.9775</c:v>
                </c:pt>
                <c:pt idx="56">
                  <c:v>7307.7175</c:v>
                </c:pt>
                <c:pt idx="57">
                  <c:v>7191.057692307692</c:v>
                </c:pt>
                <c:pt idx="58">
                  <c:v>7378.291818181819</c:v>
                </c:pt>
                <c:pt idx="59">
                  <c:v>7514.564375000001</c:v>
                </c:pt>
                <c:pt idx="60">
                  <c:v>7688.003846153848</c:v>
                </c:pt>
                <c:pt idx="61">
                  <c:v>7341.927499999999</c:v>
                </c:pt>
                <c:pt idx="62">
                  <c:v>7594.510666666668</c:v>
                </c:pt>
                <c:pt idx="63">
                  <c:v>7288.582</c:v>
                </c:pt>
                <c:pt idx="64">
                  <c:v>6921.317857142858</c:v>
                </c:pt>
                <c:pt idx="65">
                  <c:v>7308.519285714285</c:v>
                </c:pt>
                <c:pt idx="66">
                  <c:v>8012.919333333334</c:v>
                </c:pt>
                <c:pt idx="67">
                  <c:v>8039.146111111111</c:v>
                </c:pt>
                <c:pt idx="68">
                  <c:v>7372.931428571428</c:v>
                </c:pt>
                <c:pt idx="69">
                  <c:v>7320.0391666666665</c:v>
                </c:pt>
                <c:pt idx="70">
                  <c:v>7831.873750000002</c:v>
                </c:pt>
                <c:pt idx="71">
                  <c:v>7075.862</c:v>
                </c:pt>
              </c:numCache>
            </c:numRef>
          </c:val>
          <c:smooth val="0"/>
        </c:ser>
        <c:marker val="1"/>
        <c:axId val="23644395"/>
        <c:axId val="11472964"/>
      </c:lineChart>
      <c:catAx>
        <c:axId val="23644395"/>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11472964"/>
        <c:crosses val="autoZero"/>
        <c:auto val="0"/>
        <c:lblOffset val="100"/>
        <c:tickLblSkip val="2"/>
        <c:noMultiLvlLbl val="0"/>
      </c:catAx>
      <c:valAx>
        <c:axId val="11472964"/>
        <c:scaling>
          <c:orientation val="minMax"/>
          <c:min val="3000"/>
        </c:scaling>
        <c:axPos val="l"/>
        <c:title>
          <c:tx>
            <c:rich>
              <a:bodyPr vert="horz" rot="-5400000" anchor="ctr"/>
              <a:lstStyle/>
              <a:p>
                <a:pPr algn="ctr">
                  <a:defRPr/>
                </a:pPr>
                <a:r>
                  <a:rPr lang="en-US" cap="none" sz="1000" b="0" i="0" u="none" baseline="0">
                    <a:solidFill>
                      <a:srgbClr val="000000"/>
                    </a:solidFill>
                  </a:rPr>
                  <a:t>$ / saco 25 kg</a:t>
                </a:r>
              </a:p>
            </c:rich>
          </c:tx>
          <c:layout>
            <c:manualLayout>
              <c:xMode val="factor"/>
              <c:yMode val="factor"/>
              <c:x val="-0.006"/>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23644395"/>
        <c:crossesAt val="1"/>
        <c:crossBetween val="between"/>
        <c:dispUnits/>
        <c:majorUnit val="5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16 de noviembre al 29 de diciembre 2017 
</a:t>
            </a:r>
            <a:r>
              <a:rPr lang="en-US" cap="none" sz="1000" b="1" i="0" u="none" baseline="0">
                <a:solidFill>
                  <a:srgbClr val="000000"/>
                </a:solidFill>
              </a:rPr>
              <a:t>(en $ por saco de 25 kilos, sin IVA)</a:t>
            </a:r>
          </a:p>
        </c:rich>
      </c:tx>
      <c:layout>
        <c:manualLayout>
          <c:xMode val="factor"/>
          <c:yMode val="factor"/>
          <c:x val="-0.03075"/>
          <c:y val="-0.01275"/>
        </c:manualLayout>
      </c:layout>
      <c:spPr>
        <a:noFill/>
        <a:ln w="3175">
          <a:noFill/>
        </a:ln>
      </c:spPr>
    </c:title>
    <c:plotArea>
      <c:layout>
        <c:manualLayout>
          <c:xMode val="edge"/>
          <c:yMode val="edge"/>
          <c:x val="0.017"/>
          <c:y val="0.1045"/>
          <c:w val="0.81175"/>
          <c:h val="0.809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 de Santiago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 Santiago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36147813"/>
        <c:axId val="56894862"/>
      </c:lineChart>
      <c:dateAx>
        <c:axId val="36147813"/>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56894862"/>
        <c:crosses val="autoZero"/>
        <c:auto val="0"/>
        <c:baseTimeUnit val="days"/>
        <c:majorUnit val="2"/>
        <c:majorTimeUnit val="days"/>
        <c:minorUnit val="1"/>
        <c:minorTimeUnit val="days"/>
        <c:noMultiLvlLbl val="0"/>
      </c:dateAx>
      <c:valAx>
        <c:axId val="56894862"/>
        <c:scaling>
          <c:orientation val="minMax"/>
          <c:min val="2000"/>
        </c:scaling>
        <c:axPos val="l"/>
        <c:title>
          <c:tx>
            <c:rich>
              <a:bodyPr vert="horz" rot="-5400000" anchor="ctr"/>
              <a:lstStyle/>
              <a:p>
                <a:pPr algn="ctr">
                  <a:defRPr/>
                </a:pPr>
                <a:r>
                  <a:rPr lang="en-US" cap="none" sz="1000" b="0" i="0" u="none" baseline="0">
                    <a:solidFill>
                      <a:srgbClr val="000000"/>
                    </a:solidFill>
                  </a:rPr>
                  <a:t> $ / saco de 25 kg</a:t>
                </a:r>
              </a:p>
            </c:rich>
          </c:tx>
          <c:layout>
            <c:manualLayout>
              <c:xMode val="factor"/>
              <c:yMode val="factor"/>
              <c:x val="-0.0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6147813"/>
        <c:crossesAt val="1"/>
        <c:crossBetween val="between"/>
        <c:dispUnits/>
      </c:valAx>
      <c:spPr>
        <a:noFill/>
        <a:ln>
          <a:noFill/>
        </a:ln>
      </c:spPr>
    </c:plotArea>
    <c:legend>
      <c:legendPos val="r"/>
      <c:layout>
        <c:manualLayout>
          <c:xMode val="edge"/>
          <c:yMode val="edge"/>
          <c:x val="0.83925"/>
          <c:y val="0.06425"/>
          <c:w val="0.1597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ferias libres y mercados mayoristas de Santiago</a:t>
            </a:r>
          </a:p>
        </c:rich>
      </c:tx>
      <c:layout>
        <c:manualLayout>
          <c:xMode val="factor"/>
          <c:yMode val="factor"/>
          <c:x val="-0.00225"/>
          <c:y val="-0.01275"/>
        </c:manualLayout>
      </c:layout>
      <c:spPr>
        <a:noFill/>
        <a:ln w="3175">
          <a:noFill/>
        </a:ln>
      </c:spPr>
    </c:title>
    <c:plotArea>
      <c:layout>
        <c:manualLayout>
          <c:xMode val="edge"/>
          <c:yMode val="edge"/>
          <c:x val="0.0265"/>
          <c:y val="0.07075"/>
          <c:w val="0.9845"/>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ser>
          <c:idx val="2"/>
          <c:order val="2"/>
          <c:tx>
            <c:strRef>
              <c:f>'precio minorista'!$F$24</c:f>
              <c:strCache>
                <c:ptCount val="1"/>
                <c:pt idx="0">
                  <c:v>Mayorista</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00"/>
              </a:solidFill>
              <a:ln>
                <a:noFill/>
              </a:ln>
            </c:spPr>
          </c:marker>
          <c:cat>
            <c:strRef>
              <c:f>'precio minorista'!$C$25:$C$45</c:f>
              <c:strCache/>
            </c:strRef>
          </c:cat>
          <c:val>
            <c:numRef>
              <c:f>'precio minorista'!$F$25:$F$45</c:f>
              <c:numCache/>
            </c:numRef>
          </c:val>
          <c:smooth val="0"/>
        </c:ser>
        <c:marker val="1"/>
        <c:axId val="42291711"/>
        <c:axId val="45081080"/>
      </c:lineChart>
      <c:dateAx>
        <c:axId val="4229171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081080"/>
        <c:crosses val="autoZero"/>
        <c:auto val="0"/>
        <c:baseTimeUnit val="months"/>
        <c:majorUnit val="2"/>
        <c:majorTimeUnit val="months"/>
        <c:minorUnit val="1"/>
        <c:minorTimeUnit val="months"/>
        <c:noMultiLvlLbl val="0"/>
      </c:dateAx>
      <c:valAx>
        <c:axId val="45081080"/>
        <c:scaling>
          <c:orientation val="minMax"/>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5"/>
              <c:y val="0"/>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42291711"/>
        <c:crossesAt val="1"/>
        <c:crossBetween val="between"/>
        <c:dispUnits/>
      </c:valAx>
      <c:spPr>
        <a:noFill/>
        <a:ln>
          <a:noFill/>
        </a:ln>
      </c:spPr>
    </c:plotArea>
    <c:legend>
      <c:legendPos val="r"/>
      <c:layout>
        <c:manualLayout>
          <c:xMode val="edge"/>
          <c:yMode val="edge"/>
          <c:x val="0.2395"/>
          <c:y val="0.914"/>
          <c:w val="0.55025"/>
          <c:h val="0.08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14 de agosto al 25 de diciembre 2017 ($/ kilo con IVA)</a:t>
            </a:r>
          </a:p>
        </c:rich>
      </c:tx>
      <c:layout>
        <c:manualLayout>
          <c:xMode val="factor"/>
          <c:yMode val="factor"/>
          <c:x val="-0.00275"/>
          <c:y val="-0.01425"/>
        </c:manualLayout>
      </c:layout>
      <c:spPr>
        <a:noFill/>
        <a:ln w="3175">
          <a:noFill/>
        </a:ln>
      </c:spPr>
    </c:title>
    <c:plotArea>
      <c:layout>
        <c:manualLayout>
          <c:xMode val="edge"/>
          <c:yMode val="edge"/>
          <c:x val="0.057"/>
          <c:y val="0.09275"/>
          <c:w val="0.94875"/>
          <c:h val="0.785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regiones'!$B$7:$B$26</c:f>
              <c:strCache/>
            </c:strRef>
          </c:cat>
          <c:val>
            <c:numRef>
              <c:f>'precio minorista regiones'!$C$7:$C$26</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regiones'!$B$7:$B$26</c:f>
              <c:strCache/>
            </c:strRef>
          </c:cat>
          <c:val>
            <c:numRef>
              <c:f>'precio minorista regiones'!$D$7:$D$26</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regiones'!$B$7:$B$26</c:f>
              <c:strCache/>
            </c:strRef>
          </c:cat>
          <c:val>
            <c:numRef>
              <c:f>'precio minorista regiones'!$E$7:$E$26</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regiones'!$B$7:$B$26</c:f>
              <c:strCache/>
            </c:strRef>
          </c:cat>
          <c:val>
            <c:numRef>
              <c:f>'precio minorista regiones'!$F$7:$F$26</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regiones'!$B$7:$B$26</c:f>
              <c:strCache/>
            </c:strRef>
          </c:cat>
          <c:val>
            <c:numRef>
              <c:f>'precio minorista regiones'!$G$7:$G$26</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regiones'!$B$7:$B$26</c:f>
              <c:strCache/>
            </c:strRef>
          </c:cat>
          <c:val>
            <c:numRef>
              <c:f>'precio minorista regiones'!$H$7:$H$26</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regiones'!$B$7:$B$26</c:f>
              <c:strCache/>
            </c:strRef>
          </c:cat>
          <c:val>
            <c:numRef>
              <c:f>'precio minorista regiones'!$I$7:$I$26</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regiones'!$B$7:$B$26</c:f>
              <c:strCache/>
            </c:strRef>
          </c:cat>
          <c:val>
            <c:numRef>
              <c:f>'precio minorista regiones'!$J$7:$J$26</c:f>
              <c:numCache/>
            </c:numRef>
          </c:val>
          <c:smooth val="0"/>
        </c:ser>
        <c:marker val="1"/>
        <c:axId val="3076537"/>
        <c:axId val="27688834"/>
      </c:lineChart>
      <c:dateAx>
        <c:axId val="3076537"/>
        <c:scaling>
          <c:orientation val="minMax"/>
        </c:scaling>
        <c:axPos val="b"/>
        <c:delete val="0"/>
        <c:numFmt formatCode="dd/mm" sourceLinked="0"/>
        <c:majorTickMark val="out"/>
        <c:minorTickMark val="none"/>
        <c:tickLblPos val="nextTo"/>
        <c:spPr>
          <a:ln w="3175">
            <a:solidFill>
              <a:srgbClr val="C0C0C0"/>
            </a:solidFill>
          </a:ln>
        </c:spPr>
        <c:crossAx val="27688834"/>
        <c:crosses val="autoZero"/>
        <c:auto val="0"/>
        <c:baseTimeUnit val="days"/>
        <c:majorUnit val="14"/>
        <c:majorTimeUnit val="days"/>
        <c:minorUnit val="1"/>
        <c:minorTimeUnit val="days"/>
        <c:noMultiLvlLbl val="0"/>
      </c:dateAx>
      <c:valAx>
        <c:axId val="27688834"/>
        <c:scaling>
          <c:orientation val="minMax"/>
          <c:min val="6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3076537"/>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14 de agosto al 25 de diciembre 2017 ($/ kilo con IVA)</a:t>
            </a:r>
          </a:p>
        </c:rich>
      </c:tx>
      <c:layout>
        <c:manualLayout>
          <c:xMode val="factor"/>
          <c:yMode val="factor"/>
          <c:x val="-0.00125"/>
          <c:y val="-0.01425"/>
        </c:manualLayout>
      </c:layout>
      <c:spPr>
        <a:noFill/>
        <a:ln w="3175">
          <a:noFill/>
        </a:ln>
      </c:spPr>
    </c:title>
    <c:plotArea>
      <c:layout>
        <c:manualLayout>
          <c:xMode val="edge"/>
          <c:yMode val="edge"/>
          <c:x val="0.0495"/>
          <c:y val="0.0895"/>
          <c:w val="0.95625"/>
          <c:h val="0.7902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regiones'!$B$7:$B$26</c:f>
              <c:strCache/>
            </c:strRef>
          </c:cat>
          <c:val>
            <c:numRef>
              <c:f>'precio minorista regiones'!$K$7:$K$26</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regiones'!$B$7:$B$26</c:f>
              <c:strCache/>
            </c:strRef>
          </c:cat>
          <c:val>
            <c:numRef>
              <c:f>'precio minorista regiones'!$L$7:$L$26</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regiones'!$B$7:$B$26</c:f>
              <c:strCache/>
            </c:strRef>
          </c:cat>
          <c:val>
            <c:numRef>
              <c:f>'precio minorista regiones'!$M$7:$M$26</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regiones'!$B$7:$B$26</c:f>
              <c:strCache/>
            </c:strRef>
          </c:cat>
          <c:val>
            <c:numRef>
              <c:f>'precio minorista regiones'!$N$7:$N$26</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regiones'!$B$7:$B$26</c:f>
              <c:strCache/>
            </c:strRef>
          </c:cat>
          <c:val>
            <c:numRef>
              <c:f>'precio minorista regiones'!$O$7:$O$26</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regiones'!$B$7:$B$26</c:f>
              <c:strCache/>
            </c:strRef>
          </c:cat>
          <c:val>
            <c:numRef>
              <c:f>'precio minorista regiones'!$P$7:$P$26</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regiones'!$B$7:$B$26</c:f>
              <c:strCache/>
            </c:strRef>
          </c:cat>
          <c:val>
            <c:numRef>
              <c:f>'precio minorista regiones'!$Q$7:$Q$26</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regiones'!$B$7:$B$26</c:f>
              <c:strCache/>
            </c:strRef>
          </c:cat>
          <c:val>
            <c:numRef>
              <c:f>'precio minorista regiones'!$R$7:$R$26</c:f>
              <c:numCache/>
            </c:numRef>
          </c:val>
          <c:smooth val="0"/>
        </c:ser>
        <c:marker val="1"/>
        <c:axId val="47872915"/>
        <c:axId val="28203052"/>
      </c:lineChart>
      <c:dateAx>
        <c:axId val="47872915"/>
        <c:scaling>
          <c:orientation val="minMax"/>
        </c:scaling>
        <c:axPos val="b"/>
        <c:delete val="0"/>
        <c:numFmt formatCode="dd/mm" sourceLinked="0"/>
        <c:majorTickMark val="out"/>
        <c:minorTickMark val="none"/>
        <c:tickLblPos val="nextTo"/>
        <c:spPr>
          <a:ln w="3175">
            <a:solidFill>
              <a:srgbClr val="C0C0C0"/>
            </a:solidFill>
          </a:ln>
        </c:spPr>
        <c:crossAx val="28203052"/>
        <c:crosses val="autoZero"/>
        <c:auto val="0"/>
        <c:baseTimeUnit val="days"/>
        <c:majorUnit val="14"/>
        <c:majorTimeUnit val="days"/>
        <c:minorUnit val="1"/>
        <c:minorTimeUnit val="days"/>
        <c:noMultiLvlLbl val="0"/>
      </c:dateAx>
      <c:valAx>
        <c:axId val="28203052"/>
        <c:scaling>
          <c:orientation val="minMax"/>
          <c:min val="1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47872915"/>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685"/>
          <c:w val="0.8885"/>
          <c:h val="0.854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rend'!$C$7:$C$24</c:f>
              <c:strCache/>
            </c:strRef>
          </c:cat>
          <c:val>
            <c:numRef>
              <c:f>'sup, prod y rend'!$D$7:$D$24</c:f>
              <c:numCache/>
            </c:numRef>
          </c:val>
          <c:smooth val="0"/>
        </c:ser>
        <c:marker val="1"/>
        <c:axId val="52500877"/>
        <c:axId val="2745846"/>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66"/>
              </a:solidFill>
              <a:ln>
                <a:solidFill>
                  <a:srgbClr val="993366"/>
                </a:solidFill>
              </a:ln>
            </c:spPr>
          </c:marker>
          <c:cat>
            <c:strRef>
              <c:f>'sup, prod y rend'!$C$7:$C$24</c:f>
              <c:strCache/>
            </c:strRef>
          </c:cat>
          <c:val>
            <c:numRef>
              <c:f>'sup, prod y rend'!$E$7:$E$24</c:f>
              <c:numCache/>
            </c:numRef>
          </c:val>
          <c:smooth val="0"/>
        </c:ser>
        <c:marker val="1"/>
        <c:axId val="24712615"/>
        <c:axId val="21086944"/>
      </c:lineChart>
      <c:catAx>
        <c:axId val="5250087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2745846"/>
        <c:crosses val="autoZero"/>
        <c:auto val="1"/>
        <c:lblOffset val="100"/>
        <c:tickLblSkip val="1"/>
        <c:noMultiLvlLbl val="0"/>
      </c:catAx>
      <c:valAx>
        <c:axId val="2745846"/>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2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52500877"/>
        <c:crossesAt val="1"/>
        <c:crossBetween val="between"/>
        <c:dispUnits/>
      </c:valAx>
      <c:catAx>
        <c:axId val="24712615"/>
        <c:scaling>
          <c:orientation val="minMax"/>
        </c:scaling>
        <c:axPos val="b"/>
        <c:delete val="1"/>
        <c:majorTickMark val="out"/>
        <c:minorTickMark val="none"/>
        <c:tickLblPos val="nextTo"/>
        <c:crossAx val="21086944"/>
        <c:crosses val="autoZero"/>
        <c:auto val="1"/>
        <c:lblOffset val="100"/>
        <c:tickLblSkip val="1"/>
        <c:noMultiLvlLbl val="0"/>
      </c:catAx>
      <c:valAx>
        <c:axId val="21086944"/>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24712615"/>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25"/>
          <c:y val="-0.011"/>
        </c:manualLayout>
      </c:layout>
      <c:spPr>
        <a:noFill/>
        <a:ln w="3175">
          <a:noFill/>
        </a:ln>
      </c:spPr>
    </c:title>
    <c:plotArea>
      <c:layout>
        <c:manualLayout>
          <c:xMode val="edge"/>
          <c:yMode val="edge"/>
          <c:x val="0.03875"/>
          <c:y val="0.072"/>
          <c:w val="0.945"/>
          <c:h val="0.85025"/>
        </c:manualLayout>
      </c:layout>
      <c:barChart>
        <c:barDir val="col"/>
        <c:grouping val="clustered"/>
        <c:varyColors val="0"/>
        <c:ser>
          <c:idx val="0"/>
          <c:order val="0"/>
          <c:tx>
            <c:strRef>
              <c:f>'sup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1"/>
          <c:order val="1"/>
          <c:tx>
            <c:strRef>
              <c:f>'sup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ser>
          <c:idx val="2"/>
          <c:order val="2"/>
          <c:tx>
            <c:strRef>
              <c:f>'sup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región'!$C$23:$K$23</c:f>
              <c:numCache/>
            </c:numRef>
          </c:val>
        </c:ser>
        <c:overlap val="-27"/>
        <c:gapWidth val="219"/>
        <c:axId val="55564769"/>
        <c:axId val="30320874"/>
      </c:barChart>
      <c:catAx>
        <c:axId val="5556476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0320874"/>
        <c:crosses val="autoZero"/>
        <c:auto val="1"/>
        <c:lblOffset val="100"/>
        <c:tickLblSkip val="1"/>
        <c:noMultiLvlLbl val="0"/>
      </c:catAx>
      <c:valAx>
        <c:axId val="30320874"/>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1"/>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55564769"/>
        <c:crossesAt val="1"/>
        <c:crossBetween val="between"/>
        <c:dispUnits/>
      </c:valAx>
      <c:spPr>
        <a:noFill/>
        <a:ln>
          <a:noFill/>
        </a:ln>
      </c:spPr>
    </c:plotArea>
    <c:legend>
      <c:legendPos val="r"/>
      <c:layout>
        <c:manualLayout>
          <c:xMode val="edge"/>
          <c:yMode val="edge"/>
          <c:x val="0.3805"/>
          <c:y val="0.92625"/>
          <c:w val="0.2415"/>
          <c:h val="0.05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225"/>
          <c:y val="-0.0125"/>
        </c:manualLayout>
      </c:layout>
      <c:spPr>
        <a:noFill/>
        <a:ln w="3175">
          <a:noFill/>
        </a:ln>
      </c:spPr>
    </c:title>
    <c:plotArea>
      <c:layout>
        <c:manualLayout>
          <c:xMode val="edge"/>
          <c:yMode val="edge"/>
          <c:x val="0.04575"/>
          <c:y val="0.0715"/>
          <c:w val="0.93825"/>
          <c:h val="0.84875"/>
        </c:manualLayout>
      </c:layout>
      <c:barChart>
        <c:barDir val="col"/>
        <c:grouping val="clustered"/>
        <c:varyColors val="0"/>
        <c:ser>
          <c:idx val="0"/>
          <c:order val="0"/>
          <c:tx>
            <c:strRef>
              <c:f>'prod región'!$B$21</c:f>
              <c:strCache>
                <c:ptCount val="1"/>
                <c:pt idx="0">
                  <c:v>2014/15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1"/>
          <c:order val="1"/>
          <c:tx>
            <c:strRef>
              <c:f>'prod región'!$B$22</c:f>
              <c:strCache>
                <c:ptCount val="1"/>
                <c:pt idx="0">
                  <c:v>2015/16</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ser>
          <c:idx val="2"/>
          <c:order val="2"/>
          <c:tx>
            <c:strRef>
              <c:f>'prod región'!$B$23</c:f>
              <c:strCache>
                <c:ptCount val="1"/>
                <c:pt idx="0">
                  <c:v>2016/17</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región'!$C$23:$K$23</c:f>
              <c:numCache/>
            </c:numRef>
          </c:val>
        </c:ser>
        <c:overlap val="-27"/>
        <c:gapWidth val="219"/>
        <c:axId val="4452411"/>
        <c:axId val="40071700"/>
      </c:barChart>
      <c:catAx>
        <c:axId val="445241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0071700"/>
        <c:crosses val="autoZero"/>
        <c:auto val="1"/>
        <c:lblOffset val="100"/>
        <c:tickLblSkip val="1"/>
        <c:noMultiLvlLbl val="0"/>
      </c:catAx>
      <c:valAx>
        <c:axId val="40071700"/>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2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4452411"/>
        <c:crossesAt val="1"/>
        <c:crossBetween val="between"/>
        <c:dispUnits/>
      </c:valAx>
      <c:spPr>
        <a:noFill/>
        <a:ln>
          <a:noFill/>
        </a:ln>
      </c:spPr>
    </c:plotArea>
    <c:legend>
      <c:legendPos val="r"/>
      <c:layout>
        <c:manualLayout>
          <c:xMode val="edge"/>
          <c:yMode val="edge"/>
          <c:x val="0.37725"/>
          <c:y val="0.932"/>
          <c:w val="0.246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48</xdr:row>
      <xdr:rowOff>104775</xdr:rowOff>
    </xdr:from>
    <xdr:to>
      <xdr:col>2</xdr:col>
      <xdr:colOff>438150</xdr:colOff>
      <xdr:row>48</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95345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27</xdr:row>
      <xdr:rowOff>38100</xdr:rowOff>
    </xdr:from>
    <xdr:to>
      <xdr:col>9</xdr:col>
      <xdr:colOff>476250</xdr:colOff>
      <xdr:row>55</xdr:row>
      <xdr:rowOff>114300</xdr:rowOff>
    </xdr:to>
    <xdr:graphicFrame>
      <xdr:nvGraphicFramePr>
        <xdr:cNvPr id="1" name="Gráfico 1"/>
        <xdr:cNvGraphicFramePr/>
      </xdr:nvGraphicFramePr>
      <xdr:xfrm>
        <a:off x="209550" y="4352925"/>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27</xdr:row>
      <xdr:rowOff>38100</xdr:rowOff>
    </xdr:from>
    <xdr:to>
      <xdr:col>17</xdr:col>
      <xdr:colOff>790575</xdr:colOff>
      <xdr:row>55</xdr:row>
      <xdr:rowOff>114300</xdr:rowOff>
    </xdr:to>
    <xdr:graphicFrame>
      <xdr:nvGraphicFramePr>
        <xdr:cNvPr id="2" name="Gráfico 4"/>
        <xdr:cNvGraphicFramePr/>
      </xdr:nvGraphicFramePr>
      <xdr:xfrm>
        <a:off x="7458075" y="4352925"/>
        <a:ext cx="7191375" cy="512445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27</xdr:row>
      <xdr:rowOff>66675</xdr:rowOff>
    </xdr:from>
    <xdr:to>
      <xdr:col>6</xdr:col>
      <xdr:colOff>1190625</xdr:colOff>
      <xdr:row>49</xdr:row>
      <xdr:rowOff>76200</xdr:rowOff>
    </xdr:to>
    <xdr:graphicFrame>
      <xdr:nvGraphicFramePr>
        <xdr:cNvPr id="1" name="Gráfico 1"/>
        <xdr:cNvGraphicFramePr/>
      </xdr:nvGraphicFramePr>
      <xdr:xfrm>
        <a:off x="180975" y="4829175"/>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66675</xdr:rowOff>
    </xdr:from>
    <xdr:to>
      <xdr:col>11</xdr:col>
      <xdr:colOff>95250</xdr:colOff>
      <xdr:row>45</xdr:row>
      <xdr:rowOff>123825</xdr:rowOff>
    </xdr:to>
    <xdr:graphicFrame>
      <xdr:nvGraphicFramePr>
        <xdr:cNvPr id="1" name="Gráfico 1"/>
        <xdr:cNvGraphicFramePr/>
      </xdr:nvGraphicFramePr>
      <xdr:xfrm>
        <a:off x="47625" y="3857625"/>
        <a:ext cx="8239125"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66675</xdr:rowOff>
    </xdr:from>
    <xdr:to>
      <xdr:col>11</xdr:col>
      <xdr:colOff>638175</xdr:colOff>
      <xdr:row>47</xdr:row>
      <xdr:rowOff>104775</xdr:rowOff>
    </xdr:to>
    <xdr:graphicFrame>
      <xdr:nvGraphicFramePr>
        <xdr:cNvPr id="1" name="Gráfico 1"/>
        <xdr:cNvGraphicFramePr/>
      </xdr:nvGraphicFramePr>
      <xdr:xfrm>
        <a:off x="171450" y="3924300"/>
        <a:ext cx="8534400" cy="37623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24</xdr:row>
      <xdr:rowOff>9525</xdr:rowOff>
    </xdr:from>
    <xdr:to>
      <xdr:col>11</xdr:col>
      <xdr:colOff>552450</xdr:colOff>
      <xdr:row>45</xdr:row>
      <xdr:rowOff>114300</xdr:rowOff>
    </xdr:to>
    <xdr:graphicFrame>
      <xdr:nvGraphicFramePr>
        <xdr:cNvPr id="1" name="Gráfico 2"/>
        <xdr:cNvGraphicFramePr/>
      </xdr:nvGraphicFramePr>
      <xdr:xfrm>
        <a:off x="171450" y="3905250"/>
        <a:ext cx="874395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38100</xdr:rowOff>
    </xdr:from>
    <xdr:to>
      <xdr:col>2</xdr:col>
      <xdr:colOff>476250</xdr:colOff>
      <xdr:row>38</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286625"/>
          <a:ext cx="182880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152400</xdr:rowOff>
    </xdr:from>
    <xdr:to>
      <xdr:col>3</xdr:col>
      <xdr:colOff>314325</xdr:colOff>
      <xdr:row>38</xdr:row>
      <xdr:rowOff>66675</xdr:rowOff>
    </xdr:to>
    <xdr:pic>
      <xdr:nvPicPr>
        <xdr:cNvPr id="1" name="Picture 1" descr="LOGO_FUCOA"/>
        <xdr:cNvPicPr preferRelativeResize="1">
          <a:picLocks noChangeAspect="1"/>
        </xdr:cNvPicPr>
      </xdr:nvPicPr>
      <xdr:blipFill>
        <a:blip r:embed="rId1"/>
        <a:srcRect t="45156" b="48161"/>
        <a:stretch>
          <a:fillRect/>
        </a:stretch>
      </xdr:blipFill>
      <xdr:spPr>
        <a:xfrm>
          <a:off x="28575" y="8134350"/>
          <a:ext cx="1838325" cy="104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695700" y="762000"/>
          <a:ext cx="3190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38550" y="904875"/>
          <a:ext cx="3257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28975" y="1076325"/>
          <a:ext cx="3686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62500" y="271462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895725" y="5210175"/>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391150" y="5372100"/>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57825" y="551497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495925" y="5695950"/>
          <a:ext cx="1390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33925" y="5057775"/>
          <a:ext cx="2143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24475" y="4914900"/>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5600700</xdr:colOff>
      <xdr:row>31</xdr:row>
      <xdr:rowOff>114300</xdr:rowOff>
    </xdr:from>
    <xdr:to>
      <xdr:col>3</xdr:col>
      <xdr:colOff>238125</xdr:colOff>
      <xdr:row>31</xdr:row>
      <xdr:rowOff>114300</xdr:rowOff>
    </xdr:to>
    <xdr:sp>
      <xdr:nvSpPr>
        <xdr:cNvPr id="11" name="Conector recto 33"/>
        <xdr:cNvSpPr>
          <a:spLocks/>
        </xdr:cNvSpPr>
      </xdr:nvSpPr>
      <xdr:spPr>
        <a:xfrm flipV="1">
          <a:off x="6657975" y="4733925"/>
          <a:ext cx="247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48250" y="4552950"/>
          <a:ext cx="1857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86225" y="4400550"/>
          <a:ext cx="2790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76800" y="4238625"/>
          <a:ext cx="2000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05225" y="1400175"/>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76800" y="1924050"/>
          <a:ext cx="2038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62550" y="2095500"/>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62550" y="22383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57825" y="2390775"/>
          <a:ext cx="1466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76900" y="2571750"/>
          <a:ext cx="1238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391150" y="2895600"/>
          <a:ext cx="1495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57825" y="3057525"/>
          <a:ext cx="1419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72125" y="3200400"/>
          <a:ext cx="1304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43600" y="3552825"/>
          <a:ext cx="914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895975" y="37433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391025" y="3390900"/>
          <a:ext cx="2466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52650" y="1238250"/>
          <a:ext cx="4772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142875</xdr:rowOff>
    </xdr:to>
    <xdr:graphicFrame>
      <xdr:nvGraphicFramePr>
        <xdr:cNvPr id="1" name="Gráfico 2"/>
        <xdr:cNvGraphicFramePr/>
      </xdr:nvGraphicFramePr>
      <xdr:xfrm>
        <a:off x="142875" y="4362450"/>
        <a:ext cx="6286500" cy="35623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57175"/>
    <xdr:sp>
      <xdr:nvSpPr>
        <xdr:cNvPr id="2" name="1 CuadroTexto"/>
        <xdr:cNvSpPr txBox="1">
          <a:spLocks noChangeArrowheads="1"/>
        </xdr:cNvSpPr>
      </xdr:nvSpPr>
      <xdr:spPr>
        <a:xfrm>
          <a:off x="66675" y="7600950"/>
          <a:ext cx="100012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866775</xdr:rowOff>
    </xdr:from>
    <xdr:to>
      <xdr:col>12</xdr:col>
      <xdr:colOff>152400</xdr:colOff>
      <xdr:row>55</xdr:row>
      <xdr:rowOff>133350</xdr:rowOff>
    </xdr:to>
    <xdr:graphicFrame>
      <xdr:nvGraphicFramePr>
        <xdr:cNvPr id="1" name="Gráfico 3"/>
        <xdr:cNvGraphicFramePr/>
      </xdr:nvGraphicFramePr>
      <xdr:xfrm>
        <a:off x="66675" y="6638925"/>
        <a:ext cx="8334375" cy="36480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54</xdr:row>
      <xdr:rowOff>9525</xdr:rowOff>
    </xdr:from>
    <xdr:ext cx="1000125" cy="257175"/>
    <xdr:sp>
      <xdr:nvSpPr>
        <xdr:cNvPr id="2" name="1 CuadroTexto"/>
        <xdr:cNvSpPr txBox="1">
          <a:spLocks noChangeArrowheads="1"/>
        </xdr:cNvSpPr>
      </xdr:nvSpPr>
      <xdr:spPr>
        <a:xfrm>
          <a:off x="57150" y="9972675"/>
          <a:ext cx="1000125" cy="2571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267950"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90700" cy="228600"/>
    <xdr:sp>
      <xdr:nvSpPr>
        <xdr:cNvPr id="2" name="1 CuadroTexto"/>
        <xdr:cNvSpPr txBox="1">
          <a:spLocks noChangeArrowheads="1"/>
        </xdr:cNvSpPr>
      </xdr:nvSpPr>
      <xdr:spPr>
        <a:xfrm>
          <a:off x="95250" y="10001250"/>
          <a:ext cx="1790700"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0.2455</cdr:x>
      <cdr:y>1</cdr:y>
    </cdr:to>
    <cdr:sp>
      <cdr:nvSpPr>
        <cdr:cNvPr id="1" name="1 CuadroTexto"/>
        <cdr:cNvSpPr txBox="1">
          <a:spLocks noChangeArrowheads="1"/>
        </cdr:cNvSpPr>
      </cdr:nvSpPr>
      <cdr:spPr>
        <a:xfrm>
          <a:off x="0" y="3543300"/>
          <a:ext cx="2019300"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22</xdr:row>
      <xdr:rowOff>57150</xdr:rowOff>
    </xdr:from>
    <xdr:to>
      <xdr:col>9</xdr:col>
      <xdr:colOff>676275</xdr:colOff>
      <xdr:row>45</xdr:row>
      <xdr:rowOff>76200</xdr:rowOff>
    </xdr:to>
    <xdr:graphicFrame>
      <xdr:nvGraphicFramePr>
        <xdr:cNvPr id="1" name="Gráfico 1"/>
        <xdr:cNvGraphicFramePr/>
      </xdr:nvGraphicFramePr>
      <xdr:xfrm>
        <a:off x="152400" y="3571875"/>
        <a:ext cx="8239125" cy="3752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8%20B%20Papa\papa%20mayorist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aco 25 kg"/>
      <sheetName val="din por mercado"/>
      <sheetName val="serie de precios saco 50 kg"/>
      <sheetName val="dinamica por volumen"/>
      <sheetName val="Hoja4"/>
      <sheetName val="Hoja3"/>
      <sheetName val="Hoja5"/>
      <sheetName val="Hoja7"/>
      <sheetName val="MERCADOS"/>
    </sheetNames>
    <sheetDataSet>
      <sheetData sheetId="5">
        <row r="3">
          <cell r="A3">
            <v>42982</v>
          </cell>
          <cell r="N3">
            <v>3132.16</v>
          </cell>
        </row>
        <row r="4">
          <cell r="A4">
            <v>42984</v>
          </cell>
          <cell r="N4">
            <v>3133.06</v>
          </cell>
        </row>
        <row r="5">
          <cell r="A5">
            <v>42991</v>
          </cell>
          <cell r="N5">
            <v>3163.92</v>
          </cell>
        </row>
        <row r="6">
          <cell r="A6">
            <v>42993</v>
          </cell>
          <cell r="N6">
            <v>3571.43</v>
          </cell>
        </row>
        <row r="7">
          <cell r="A7">
            <v>42998</v>
          </cell>
          <cell r="N7">
            <v>3276.025</v>
          </cell>
        </row>
        <row r="8">
          <cell r="A8">
            <v>42999</v>
          </cell>
          <cell r="N8">
            <v>3610.898888888889</v>
          </cell>
        </row>
        <row r="9">
          <cell r="A9">
            <v>43000</v>
          </cell>
          <cell r="N9">
            <v>3599.997692307693</v>
          </cell>
        </row>
        <row r="10">
          <cell r="A10">
            <v>43003</v>
          </cell>
          <cell r="N10">
            <v>3860.1149999999993</v>
          </cell>
        </row>
        <row r="11">
          <cell r="A11">
            <v>43004</v>
          </cell>
          <cell r="N11">
            <v>3729.093571428571</v>
          </cell>
        </row>
        <row r="12">
          <cell r="A12">
            <v>43005</v>
          </cell>
          <cell r="N12">
            <v>3798.3500000000004</v>
          </cell>
        </row>
        <row r="13">
          <cell r="A13">
            <v>43006</v>
          </cell>
          <cell r="N13">
            <v>3731.5892307692297</v>
          </cell>
        </row>
        <row r="14">
          <cell r="A14">
            <v>43007</v>
          </cell>
          <cell r="N14">
            <v>3784.0125</v>
          </cell>
        </row>
        <row r="15">
          <cell r="A15">
            <v>43010</v>
          </cell>
          <cell r="N15">
            <v>3633.07</v>
          </cell>
        </row>
        <row r="16">
          <cell r="A16">
            <v>43011</v>
          </cell>
          <cell r="N16">
            <v>3789.1666666666665</v>
          </cell>
        </row>
        <row r="17">
          <cell r="A17">
            <v>43012</v>
          </cell>
          <cell r="N17">
            <v>3653.4400000000005</v>
          </cell>
        </row>
        <row r="18">
          <cell r="A18">
            <v>43013</v>
          </cell>
          <cell r="N18">
            <v>3920.7956250000007</v>
          </cell>
        </row>
        <row r="19">
          <cell r="A19">
            <v>43014</v>
          </cell>
          <cell r="N19">
            <v>3731.3510526315795</v>
          </cell>
        </row>
        <row r="20">
          <cell r="A20">
            <v>43018</v>
          </cell>
          <cell r="N20">
            <v>3448.661818181819</v>
          </cell>
        </row>
        <row r="21">
          <cell r="A21">
            <v>43019</v>
          </cell>
          <cell r="N21">
            <v>3552.231333333334</v>
          </cell>
        </row>
        <row r="22">
          <cell r="A22">
            <v>43020</v>
          </cell>
          <cell r="N22">
            <v>3430.8517647058825</v>
          </cell>
        </row>
        <row r="23">
          <cell r="A23">
            <v>43021</v>
          </cell>
          <cell r="N23">
            <v>3731.8209090909095</v>
          </cell>
        </row>
        <row r="24">
          <cell r="A24">
            <v>43024</v>
          </cell>
          <cell r="N24">
            <v>3691.0964705882357</v>
          </cell>
        </row>
        <row r="25">
          <cell r="A25">
            <v>43025</v>
          </cell>
          <cell r="N25">
            <v>3742.8642105263166</v>
          </cell>
        </row>
        <row r="26">
          <cell r="A26">
            <v>43026</v>
          </cell>
          <cell r="N26">
            <v>3938.875</v>
          </cell>
        </row>
        <row r="27">
          <cell r="A27">
            <v>43027</v>
          </cell>
          <cell r="N27">
            <v>3883.8615789473683</v>
          </cell>
        </row>
        <row r="28">
          <cell r="A28">
            <v>43028</v>
          </cell>
          <cell r="N28">
            <v>3797.701818181819</v>
          </cell>
        </row>
        <row r="29">
          <cell r="A29">
            <v>43031</v>
          </cell>
          <cell r="N29">
            <v>3668.022666666667</v>
          </cell>
        </row>
        <row r="30">
          <cell r="A30">
            <v>43032</v>
          </cell>
          <cell r="N30">
            <v>3583.355</v>
          </cell>
        </row>
        <row r="31">
          <cell r="A31">
            <v>43033</v>
          </cell>
          <cell r="N31">
            <v>3757.6558333333337</v>
          </cell>
        </row>
        <row r="32">
          <cell r="A32">
            <v>43034</v>
          </cell>
          <cell r="N32">
            <v>3893.633529411765</v>
          </cell>
        </row>
        <row r="33">
          <cell r="A33">
            <v>43038</v>
          </cell>
          <cell r="N33">
            <v>3677.53625</v>
          </cell>
        </row>
        <row r="34">
          <cell r="A34">
            <v>43039</v>
          </cell>
          <cell r="N34">
            <v>3867.1880000000006</v>
          </cell>
        </row>
        <row r="35">
          <cell r="A35">
            <v>43041</v>
          </cell>
          <cell r="N35">
            <v>4321.60375</v>
          </cell>
        </row>
        <row r="36">
          <cell r="A36">
            <v>43042</v>
          </cell>
          <cell r="N36">
            <v>4530.700526315789</v>
          </cell>
        </row>
        <row r="37">
          <cell r="A37">
            <v>43045</v>
          </cell>
          <cell r="N37">
            <v>4965.522666666667</v>
          </cell>
        </row>
        <row r="38">
          <cell r="A38">
            <v>43046</v>
          </cell>
          <cell r="N38">
            <v>5186.309500000001</v>
          </cell>
        </row>
        <row r="39">
          <cell r="A39">
            <v>43047</v>
          </cell>
          <cell r="N39">
            <v>5824.971333333333</v>
          </cell>
        </row>
        <row r="40">
          <cell r="A40">
            <v>43048</v>
          </cell>
          <cell r="N40">
            <v>5849.431764705882</v>
          </cell>
        </row>
        <row r="41">
          <cell r="A41">
            <v>43049</v>
          </cell>
          <cell r="N41">
            <v>5586.884210526316</v>
          </cell>
        </row>
        <row r="42">
          <cell r="A42">
            <v>43052</v>
          </cell>
          <cell r="N42">
            <v>5524.6073333333325</v>
          </cell>
        </row>
        <row r="43">
          <cell r="A43">
            <v>43053</v>
          </cell>
          <cell r="N43">
            <v>5920.986818181817</v>
          </cell>
        </row>
        <row r="44">
          <cell r="A44">
            <v>43054</v>
          </cell>
          <cell r="N44">
            <v>5994.088750000001</v>
          </cell>
        </row>
        <row r="45">
          <cell r="A45">
            <v>43055</v>
          </cell>
          <cell r="N45">
            <v>5706.726086956521</v>
          </cell>
        </row>
        <row r="46">
          <cell r="A46">
            <v>43056</v>
          </cell>
          <cell r="N46">
            <v>5723.403333333333</v>
          </cell>
        </row>
        <row r="47">
          <cell r="A47">
            <v>43059</v>
          </cell>
          <cell r="N47">
            <v>5759.59375</v>
          </cell>
        </row>
        <row r="48">
          <cell r="A48">
            <v>43060</v>
          </cell>
          <cell r="N48">
            <v>5719.242857142856</v>
          </cell>
        </row>
        <row r="49">
          <cell r="A49">
            <v>43061</v>
          </cell>
          <cell r="N49">
            <v>6316.195882352943</v>
          </cell>
        </row>
        <row r="50">
          <cell r="A50">
            <v>43062</v>
          </cell>
          <cell r="N50">
            <v>6296.677500000001</v>
          </cell>
        </row>
        <row r="51">
          <cell r="A51">
            <v>43063</v>
          </cell>
          <cell r="N51">
            <v>5805.682222222222</v>
          </cell>
        </row>
        <row r="52">
          <cell r="A52">
            <v>43066</v>
          </cell>
          <cell r="N52">
            <v>5361.7699999999995</v>
          </cell>
        </row>
        <row r="53">
          <cell r="A53">
            <v>43067</v>
          </cell>
          <cell r="N53">
            <v>5838.956470588235</v>
          </cell>
        </row>
        <row r="54">
          <cell r="A54">
            <v>43068</v>
          </cell>
          <cell r="N54">
            <v>6897.150666666668</v>
          </cell>
        </row>
        <row r="55">
          <cell r="A55">
            <v>43069</v>
          </cell>
          <cell r="N55">
            <v>6506.048124999999</v>
          </cell>
        </row>
        <row r="56">
          <cell r="A56">
            <v>43070</v>
          </cell>
          <cell r="N56">
            <v>6363.885555555555</v>
          </cell>
        </row>
        <row r="57">
          <cell r="A57">
            <v>43073</v>
          </cell>
          <cell r="N57">
            <v>6606.193076923078</v>
          </cell>
        </row>
        <row r="58">
          <cell r="A58">
            <v>43074</v>
          </cell>
          <cell r="N58">
            <v>6100.9775</v>
          </cell>
        </row>
        <row r="59">
          <cell r="A59">
            <v>43075</v>
          </cell>
          <cell r="N59">
            <v>7307.7175</v>
          </cell>
        </row>
        <row r="60">
          <cell r="A60">
            <v>43076</v>
          </cell>
          <cell r="N60">
            <v>7191.057692307692</v>
          </cell>
        </row>
        <row r="61">
          <cell r="A61">
            <v>43080</v>
          </cell>
          <cell r="N61">
            <v>7378.291818181819</v>
          </cell>
        </row>
        <row r="62">
          <cell r="A62">
            <v>43081</v>
          </cell>
          <cell r="N62">
            <v>7514.564375000001</v>
          </cell>
        </row>
        <row r="63">
          <cell r="A63">
            <v>43082</v>
          </cell>
          <cell r="N63">
            <v>7688.003846153848</v>
          </cell>
        </row>
        <row r="64">
          <cell r="A64">
            <v>43083</v>
          </cell>
          <cell r="N64">
            <v>7341.927499999999</v>
          </cell>
        </row>
        <row r="65">
          <cell r="A65">
            <v>43084</v>
          </cell>
          <cell r="N65">
            <v>7594.510666666668</v>
          </cell>
        </row>
        <row r="66">
          <cell r="A66">
            <v>43087</v>
          </cell>
          <cell r="N66">
            <v>7288.582</v>
          </cell>
        </row>
        <row r="67">
          <cell r="A67">
            <v>43088</v>
          </cell>
          <cell r="N67">
            <v>6921.317857142858</v>
          </cell>
        </row>
        <row r="68">
          <cell r="A68">
            <v>43089</v>
          </cell>
          <cell r="N68">
            <v>7308.519285714285</v>
          </cell>
        </row>
        <row r="69">
          <cell r="A69">
            <v>43090</v>
          </cell>
          <cell r="N69">
            <v>8012.919333333334</v>
          </cell>
        </row>
        <row r="70">
          <cell r="A70">
            <v>43091</v>
          </cell>
          <cell r="N70">
            <v>8039.146111111111</v>
          </cell>
        </row>
        <row r="71">
          <cell r="A71">
            <v>43095</v>
          </cell>
          <cell r="N71">
            <v>7372.931428571428</v>
          </cell>
        </row>
        <row r="72">
          <cell r="A72">
            <v>43096</v>
          </cell>
          <cell r="N72">
            <v>7320.0391666666665</v>
          </cell>
        </row>
        <row r="73">
          <cell r="A73">
            <v>43097</v>
          </cell>
          <cell r="N73">
            <v>7831.873750000002</v>
          </cell>
        </row>
        <row r="74">
          <cell r="A74">
            <v>43098</v>
          </cell>
          <cell r="N74">
            <v>7075.862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9"/>
  <sheetViews>
    <sheetView tabSelected="1" zoomScale="80" zoomScaleNormal="80" zoomScalePageLayoutView="40" workbookViewId="0" topLeftCell="A1">
      <selection activeCell="A1" sqref="A1"/>
    </sheetView>
  </sheetViews>
  <sheetFormatPr defaultColWidth="10.8515625" defaultRowHeight="15"/>
  <cols>
    <col min="1" max="27" width="10.8515625" style="66" customWidth="1"/>
    <col min="28" max="16384" width="10.8515625" style="66" customWidth="1"/>
  </cols>
  <sheetData>
    <row r="1" ht="15">
      <c r="A1" s="69"/>
    </row>
    <row r="13" spans="6:10" ht="25.5">
      <c r="F13" s="70"/>
      <c r="G13" s="70"/>
      <c r="H13" s="71"/>
      <c r="I13" s="71"/>
      <c r="J13" s="71"/>
    </row>
    <row r="14" spans="5:7" ht="15">
      <c r="E14" s="67"/>
      <c r="F14" s="67"/>
      <c r="G14" s="67"/>
    </row>
    <row r="15" spans="5:10" ht="15.75">
      <c r="E15" s="72"/>
      <c r="F15" s="73"/>
      <c r="G15" s="73"/>
      <c r="H15" s="74"/>
      <c r="I15" s="74"/>
      <c r="J15" s="74"/>
    </row>
    <row r="23" ht="25.5">
      <c r="D23" s="70" t="s">
        <v>108</v>
      </c>
    </row>
    <row r="46" spans="4:6" ht="15.75">
      <c r="D46" s="341"/>
      <c r="E46" s="342"/>
      <c r="F46" s="342"/>
    </row>
    <row r="49" ht="15.75">
      <c r="E49" s="131" t="s">
        <v>275</v>
      </c>
    </row>
  </sheetData>
  <sheetProtection/>
  <mergeCells count="1">
    <mergeCell ref="D46:F46"/>
  </mergeCells>
  <printOptions horizontalCentered="1" verticalCentered="1"/>
  <pageMargins left="0.7086614173228347" right="0.7086614173228347" top="1.299212598425197" bottom="0.7480314960629921" header="0.31496062992125984" footer="0.31496062992125984"/>
  <pageSetup fitToHeight="1" fitToWidth="1" horizontalDpi="600" verticalDpi="600" orientation="portrait" paperSize="122" scale="84"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D47"/>
  <sheetViews>
    <sheetView zoomScale="80" zoomScaleNormal="80" zoomScalePageLayoutView="0" workbookViewId="0" topLeftCell="A1">
      <selection activeCell="A1" sqref="A1"/>
    </sheetView>
  </sheetViews>
  <sheetFormatPr defaultColWidth="10.8515625" defaultRowHeight="15"/>
  <cols>
    <col min="1" max="1" width="1.7109375" style="34" customWidth="1"/>
    <col min="2" max="2" width="12.140625" style="34" customWidth="1"/>
    <col min="3" max="3" width="11.8515625" style="34" customWidth="1"/>
    <col min="4" max="4" width="13.7109375" style="34" customWidth="1"/>
    <col min="5" max="5" width="14.421875" style="34" customWidth="1"/>
    <col min="6" max="7" width="12.00390625" style="34" customWidth="1"/>
    <col min="8" max="8" width="12.7109375" style="34" customWidth="1"/>
    <col min="9" max="9" width="14.00390625" style="34" customWidth="1"/>
    <col min="10" max="10" width="13.00390625" style="34" customWidth="1"/>
    <col min="11" max="11" width="12.00390625" style="34" customWidth="1"/>
    <col min="12" max="12" width="13.8515625" style="34" customWidth="1"/>
    <col min="13" max="13" width="13.421875" style="34" customWidth="1"/>
    <col min="14" max="14" width="12.28125" style="34" customWidth="1"/>
    <col min="15" max="15" width="12.00390625" style="34" customWidth="1"/>
    <col min="16" max="16" width="13.00390625" style="34" customWidth="1"/>
    <col min="17" max="17" width="13.7109375" style="34" customWidth="1"/>
    <col min="18" max="18" width="13.00390625" style="34" customWidth="1"/>
    <col min="19" max="19" width="2.140625" style="34" customWidth="1"/>
    <col min="20" max="20" width="10.8515625" style="34" customWidth="1"/>
    <col min="21" max="21" width="10.8515625" style="139" customWidth="1"/>
    <col min="22" max="22" width="10.8515625" style="308" hidden="1" customWidth="1"/>
    <col min="23" max="23" width="9.28125" style="308" hidden="1" customWidth="1"/>
    <col min="24" max="24" width="13.00390625" style="308" hidden="1" customWidth="1"/>
    <col min="25" max="25" width="13.140625" style="308" hidden="1" customWidth="1"/>
    <col min="26" max="26" width="7.140625" style="308" hidden="1" customWidth="1"/>
    <col min="27" max="27" width="8.140625" style="308" hidden="1" customWidth="1"/>
    <col min="28" max="28" width="9.28125" style="308" hidden="1" customWidth="1"/>
    <col min="29" max="29" width="15.7109375" style="308" hidden="1" customWidth="1"/>
    <col min="30" max="30" width="13.140625" style="308" hidden="1" customWidth="1"/>
    <col min="31" max="31" width="10.8515625" style="139" customWidth="1"/>
    <col min="32" max="16384" width="10.8515625" style="34" customWidth="1"/>
  </cols>
  <sheetData>
    <row r="1" spans="1:3" ht="8.25" customHeight="1">
      <c r="A1" s="34" t="s">
        <v>237</v>
      </c>
      <c r="B1" s="204"/>
      <c r="C1" s="204"/>
    </row>
    <row r="2" spans="2:20" ht="12.75">
      <c r="B2" s="353" t="s">
        <v>60</v>
      </c>
      <c r="C2" s="353"/>
      <c r="D2" s="353"/>
      <c r="E2" s="353"/>
      <c r="F2" s="353"/>
      <c r="G2" s="353"/>
      <c r="H2" s="353"/>
      <c r="I2" s="353"/>
      <c r="J2" s="353"/>
      <c r="K2" s="353"/>
      <c r="L2" s="353"/>
      <c r="M2" s="353"/>
      <c r="N2" s="353"/>
      <c r="O2" s="353"/>
      <c r="P2" s="353"/>
      <c r="Q2" s="353"/>
      <c r="R2" s="353"/>
      <c r="S2" s="156"/>
      <c r="T2" s="44" t="s">
        <v>147</v>
      </c>
    </row>
    <row r="3" spans="2:19" ht="12.75">
      <c r="B3" s="353" t="s">
        <v>144</v>
      </c>
      <c r="C3" s="353"/>
      <c r="D3" s="353"/>
      <c r="E3" s="353"/>
      <c r="F3" s="353"/>
      <c r="G3" s="353"/>
      <c r="H3" s="353"/>
      <c r="I3" s="353"/>
      <c r="J3" s="353"/>
      <c r="K3" s="353"/>
      <c r="L3" s="353"/>
      <c r="M3" s="353"/>
      <c r="N3" s="353"/>
      <c r="O3" s="353"/>
      <c r="P3" s="353"/>
      <c r="Q3" s="353"/>
      <c r="R3" s="353"/>
      <c r="S3" s="156"/>
    </row>
    <row r="4" spans="2:19" ht="12.75">
      <c r="B4" s="353" t="s">
        <v>260</v>
      </c>
      <c r="C4" s="353"/>
      <c r="D4" s="353"/>
      <c r="E4" s="353"/>
      <c r="F4" s="353"/>
      <c r="G4" s="353"/>
      <c r="H4" s="353"/>
      <c r="I4" s="353"/>
      <c r="J4" s="353"/>
      <c r="K4" s="353"/>
      <c r="L4" s="353"/>
      <c r="M4" s="353"/>
      <c r="N4" s="353"/>
      <c r="O4" s="353"/>
      <c r="P4" s="353"/>
      <c r="Q4" s="353"/>
      <c r="R4" s="353"/>
      <c r="S4" s="156"/>
    </row>
    <row r="5" spans="3:20" ht="12.75">
      <c r="C5" s="365" t="s">
        <v>213</v>
      </c>
      <c r="D5" s="365"/>
      <c r="E5" s="365"/>
      <c r="F5" s="365"/>
      <c r="G5" s="365"/>
      <c r="H5" s="365"/>
      <c r="I5" s="365"/>
      <c r="J5" s="365"/>
      <c r="K5" s="365" t="s">
        <v>214</v>
      </c>
      <c r="L5" s="365"/>
      <c r="M5" s="365"/>
      <c r="N5" s="365"/>
      <c r="O5" s="365"/>
      <c r="P5" s="365"/>
      <c r="Q5" s="365"/>
      <c r="R5" s="365"/>
      <c r="S5" s="159"/>
      <c r="T5" s="158"/>
    </row>
    <row r="6" spans="2:30" ht="12.75">
      <c r="B6" s="160" t="s">
        <v>135</v>
      </c>
      <c r="C6" s="161" t="s">
        <v>157</v>
      </c>
      <c r="D6" s="162" t="s">
        <v>23</v>
      </c>
      <c r="E6" s="162" t="s">
        <v>22</v>
      </c>
      <c r="F6" s="162" t="s">
        <v>134</v>
      </c>
      <c r="G6" s="162" t="s">
        <v>19</v>
      </c>
      <c r="H6" s="162" t="s">
        <v>18</v>
      </c>
      <c r="I6" s="162" t="s">
        <v>17</v>
      </c>
      <c r="J6" s="163" t="s">
        <v>15</v>
      </c>
      <c r="K6" s="161" t="s">
        <v>157</v>
      </c>
      <c r="L6" s="162" t="s">
        <v>23</v>
      </c>
      <c r="M6" s="162" t="s">
        <v>22</v>
      </c>
      <c r="N6" s="162" t="s">
        <v>134</v>
      </c>
      <c r="O6" s="162" t="s">
        <v>19</v>
      </c>
      <c r="P6" s="162" t="s">
        <v>18</v>
      </c>
      <c r="Q6" s="162" t="s">
        <v>17</v>
      </c>
      <c r="R6" s="163" t="s">
        <v>15</v>
      </c>
      <c r="S6" s="109"/>
      <c r="T6" s="158"/>
      <c r="W6" s="316" t="s">
        <v>157</v>
      </c>
      <c r="X6" s="316" t="s">
        <v>23</v>
      </c>
      <c r="Y6" s="316" t="s">
        <v>22</v>
      </c>
      <c r="Z6" s="316" t="s">
        <v>134</v>
      </c>
      <c r="AA6" s="316" t="s">
        <v>19</v>
      </c>
      <c r="AB6" s="316" t="s">
        <v>18</v>
      </c>
      <c r="AC6" s="316" t="s">
        <v>17</v>
      </c>
      <c r="AD6" s="316" t="s">
        <v>15</v>
      </c>
    </row>
    <row r="7" spans="2:30" ht="12.75">
      <c r="B7" s="312">
        <v>42961</v>
      </c>
      <c r="C7" s="260">
        <v>849</v>
      </c>
      <c r="D7" s="268">
        <v>942</v>
      </c>
      <c r="E7" s="268">
        <v>893.5</v>
      </c>
      <c r="F7" s="268">
        <v>873</v>
      </c>
      <c r="G7" s="268">
        <v>971.5</v>
      </c>
      <c r="H7" s="268">
        <v>862.5</v>
      </c>
      <c r="I7" s="268">
        <v>924</v>
      </c>
      <c r="J7" s="313">
        <v>866</v>
      </c>
      <c r="K7" s="260"/>
      <c r="L7" s="268">
        <v>362.5</v>
      </c>
      <c r="M7" s="268">
        <v>292.5</v>
      </c>
      <c r="N7" s="268">
        <v>315</v>
      </c>
      <c r="O7" s="268">
        <v>350.5</v>
      </c>
      <c r="P7" s="268">
        <v>278</v>
      </c>
      <c r="Q7" s="268">
        <v>250</v>
      </c>
      <c r="R7" s="313">
        <v>358.5</v>
      </c>
      <c r="S7" s="110"/>
      <c r="T7" s="158"/>
      <c r="W7" s="315">
        <f>+IF(K7="","",((C7-K7)/K7))</f>
      </c>
      <c r="X7" s="315">
        <f aca="true" t="shared" si="0" ref="X7:AD22">+IF(L7="","",((D7-L7)/L7))</f>
        <v>1.5986206896551725</v>
      </c>
      <c r="Y7" s="315">
        <f t="shared" si="0"/>
        <v>2.0547008547008545</v>
      </c>
      <c r="Z7" s="315">
        <f t="shared" si="0"/>
        <v>1.7714285714285714</v>
      </c>
      <c r="AA7" s="315">
        <f t="shared" si="0"/>
        <v>1.7717546362339516</v>
      </c>
      <c r="AB7" s="315">
        <f t="shared" si="0"/>
        <v>2.102517985611511</v>
      </c>
      <c r="AC7" s="315">
        <f t="shared" si="0"/>
        <v>2.696</v>
      </c>
      <c r="AD7" s="315">
        <f t="shared" si="0"/>
        <v>1.4156206415620642</v>
      </c>
    </row>
    <row r="8" spans="2:30" ht="12.75">
      <c r="B8" s="164">
        <v>42968</v>
      </c>
      <c r="C8" s="165">
        <v>923</v>
      </c>
      <c r="D8" s="87">
        <v>887</v>
      </c>
      <c r="E8" s="87">
        <v>944.5</v>
      </c>
      <c r="F8" s="87">
        <v>967.5</v>
      </c>
      <c r="G8" s="87">
        <v>936</v>
      </c>
      <c r="H8" s="87">
        <v>881</v>
      </c>
      <c r="I8" s="87">
        <v>968</v>
      </c>
      <c r="J8" s="166">
        <v>891</v>
      </c>
      <c r="K8" s="165">
        <v>381.5</v>
      </c>
      <c r="L8" s="87">
        <v>334.5</v>
      </c>
      <c r="M8" s="87">
        <v>315</v>
      </c>
      <c r="N8" s="87">
        <v>331.5</v>
      </c>
      <c r="O8" s="87">
        <v>394</v>
      </c>
      <c r="P8" s="87">
        <v>269</v>
      </c>
      <c r="Q8" s="87">
        <v>250</v>
      </c>
      <c r="R8" s="166">
        <v>250</v>
      </c>
      <c r="S8" s="110"/>
      <c r="T8" s="158"/>
      <c r="W8" s="315">
        <f aca="true" t="shared" si="1" ref="W8:W26">+IF(K8="","",((C8-K8)/K8))</f>
        <v>1.4193971166448232</v>
      </c>
      <c r="X8" s="315">
        <f t="shared" si="0"/>
        <v>1.6517189835575485</v>
      </c>
      <c r="Y8" s="315">
        <f t="shared" si="0"/>
        <v>1.9984126984126984</v>
      </c>
      <c r="Z8" s="315">
        <f t="shared" si="0"/>
        <v>1.918552036199095</v>
      </c>
      <c r="AA8" s="315">
        <f t="shared" si="0"/>
        <v>1.3756345177664975</v>
      </c>
      <c r="AB8" s="315">
        <f t="shared" si="0"/>
        <v>2.275092936802974</v>
      </c>
      <c r="AC8" s="315">
        <f t="shared" si="0"/>
        <v>2.872</v>
      </c>
      <c r="AD8" s="315">
        <f t="shared" si="0"/>
        <v>2.564</v>
      </c>
    </row>
    <row r="9" spans="2:30" ht="12.75">
      <c r="B9" s="164">
        <v>42975</v>
      </c>
      <c r="C9" s="165">
        <v>866</v>
      </c>
      <c r="D9" s="87">
        <v>894</v>
      </c>
      <c r="E9" s="87">
        <v>1009</v>
      </c>
      <c r="F9" s="87">
        <v>935</v>
      </c>
      <c r="G9" s="87">
        <v>914.5</v>
      </c>
      <c r="H9" s="87">
        <v>847.5</v>
      </c>
      <c r="I9" s="87">
        <v>860.5</v>
      </c>
      <c r="J9" s="166">
        <v>756</v>
      </c>
      <c r="K9" s="165">
        <v>400</v>
      </c>
      <c r="L9" s="87">
        <v>353.5</v>
      </c>
      <c r="M9" s="87">
        <v>302.5</v>
      </c>
      <c r="N9" s="87">
        <v>368</v>
      </c>
      <c r="O9" s="87">
        <v>389.5</v>
      </c>
      <c r="P9" s="87">
        <v>273</v>
      </c>
      <c r="Q9" s="87">
        <v>236.5</v>
      </c>
      <c r="R9" s="166">
        <v>312.5</v>
      </c>
      <c r="S9" s="110"/>
      <c r="T9" s="158"/>
      <c r="W9" s="315">
        <f t="shared" si="1"/>
        <v>1.165</v>
      </c>
      <c r="X9" s="315">
        <f t="shared" si="0"/>
        <v>1.528995756718529</v>
      </c>
      <c r="Y9" s="315">
        <f t="shared" si="0"/>
        <v>2.3355371900826447</v>
      </c>
      <c r="Z9" s="315">
        <f t="shared" si="0"/>
        <v>1.5407608695652173</v>
      </c>
      <c r="AA9" s="315">
        <f t="shared" si="0"/>
        <v>1.3478818998716302</v>
      </c>
      <c r="AB9" s="315">
        <f t="shared" si="0"/>
        <v>2.1043956043956045</v>
      </c>
      <c r="AC9" s="315">
        <f t="shared" si="0"/>
        <v>2.638477801268499</v>
      </c>
      <c r="AD9" s="315">
        <f t="shared" si="0"/>
        <v>1.4192</v>
      </c>
    </row>
    <row r="10" spans="2:30" ht="12.75">
      <c r="B10" s="164">
        <v>42982</v>
      </c>
      <c r="C10" s="165">
        <v>906</v>
      </c>
      <c r="D10" s="87">
        <v>896</v>
      </c>
      <c r="E10" s="87">
        <v>957</v>
      </c>
      <c r="F10" s="87">
        <v>956.5</v>
      </c>
      <c r="G10" s="87">
        <v>922</v>
      </c>
      <c r="H10" s="87">
        <v>834.5</v>
      </c>
      <c r="I10" s="87">
        <v>809</v>
      </c>
      <c r="J10" s="166">
        <v>845</v>
      </c>
      <c r="K10" s="165">
        <v>450</v>
      </c>
      <c r="L10" s="87">
        <v>355</v>
      </c>
      <c r="M10" s="87">
        <v>332</v>
      </c>
      <c r="N10" s="87">
        <v>376</v>
      </c>
      <c r="O10" s="87">
        <v>464.5</v>
      </c>
      <c r="P10" s="87">
        <v>254</v>
      </c>
      <c r="Q10" s="87">
        <v>248</v>
      </c>
      <c r="R10" s="166">
        <v>200</v>
      </c>
      <c r="S10" s="110"/>
      <c r="T10" s="158"/>
      <c r="W10" s="315">
        <f t="shared" si="1"/>
        <v>1.0133333333333334</v>
      </c>
      <c r="X10" s="315">
        <f t="shared" si="0"/>
        <v>1.523943661971831</v>
      </c>
      <c r="Y10" s="315">
        <f t="shared" si="0"/>
        <v>1.8825301204819278</v>
      </c>
      <c r="Z10" s="315">
        <f t="shared" si="0"/>
        <v>1.5438829787234043</v>
      </c>
      <c r="AA10" s="315">
        <f t="shared" si="0"/>
        <v>0.984930032292788</v>
      </c>
      <c r="AB10" s="315">
        <f t="shared" si="0"/>
        <v>2.2854330708661417</v>
      </c>
      <c r="AC10" s="315">
        <f t="shared" si="0"/>
        <v>2.2620967741935485</v>
      </c>
      <c r="AD10" s="315">
        <f t="shared" si="0"/>
        <v>3.225</v>
      </c>
    </row>
    <row r="11" spans="2:30" ht="12.75">
      <c r="B11" s="164">
        <v>42989</v>
      </c>
      <c r="C11" s="165">
        <v>988</v>
      </c>
      <c r="D11" s="87">
        <v>971</v>
      </c>
      <c r="E11" s="87">
        <v>964</v>
      </c>
      <c r="F11" s="87">
        <v>963</v>
      </c>
      <c r="G11" s="87">
        <v>968.5</v>
      </c>
      <c r="H11" s="87">
        <v>993</v>
      </c>
      <c r="I11" s="87">
        <v>656.5</v>
      </c>
      <c r="J11" s="166">
        <v>875</v>
      </c>
      <c r="K11" s="165">
        <v>450</v>
      </c>
      <c r="L11" s="87">
        <v>347.5</v>
      </c>
      <c r="M11" s="87">
        <v>312.5</v>
      </c>
      <c r="N11" s="87">
        <v>365</v>
      </c>
      <c r="O11" s="87">
        <v>393.5</v>
      </c>
      <c r="P11" s="87">
        <v>263</v>
      </c>
      <c r="Q11" s="87">
        <v>244</v>
      </c>
      <c r="R11" s="166">
        <v>308.5</v>
      </c>
      <c r="S11" s="110"/>
      <c r="T11" s="158"/>
      <c r="W11" s="315">
        <f t="shared" si="1"/>
        <v>1.1955555555555555</v>
      </c>
      <c r="X11" s="315">
        <f t="shared" si="0"/>
        <v>1.7942446043165468</v>
      </c>
      <c r="Y11" s="315">
        <f t="shared" si="0"/>
        <v>2.0848</v>
      </c>
      <c r="Z11" s="315">
        <f t="shared" si="0"/>
        <v>1.6383561643835616</v>
      </c>
      <c r="AA11" s="315">
        <f t="shared" si="0"/>
        <v>1.4612452350698857</v>
      </c>
      <c r="AB11" s="315">
        <f t="shared" si="0"/>
        <v>2.7756653992395437</v>
      </c>
      <c r="AC11" s="315">
        <f t="shared" si="0"/>
        <v>1.6905737704918034</v>
      </c>
      <c r="AD11" s="315">
        <f t="shared" si="0"/>
        <v>1.8363047001620745</v>
      </c>
    </row>
    <row r="12" spans="2:30" ht="12.75">
      <c r="B12" s="164">
        <v>42996</v>
      </c>
      <c r="C12" s="165">
        <v>970</v>
      </c>
      <c r="D12" s="87">
        <v>999</v>
      </c>
      <c r="E12" s="87">
        <v>975</v>
      </c>
      <c r="F12" s="87">
        <v>975.5</v>
      </c>
      <c r="G12" s="87">
        <v>990</v>
      </c>
      <c r="H12" s="87">
        <v>984.5</v>
      </c>
      <c r="I12" s="87">
        <v>955.5</v>
      </c>
      <c r="J12" s="166">
        <v>840</v>
      </c>
      <c r="K12" s="165">
        <v>450</v>
      </c>
      <c r="L12" s="87">
        <v>362.5</v>
      </c>
      <c r="M12" s="87">
        <v>279</v>
      </c>
      <c r="N12" s="87">
        <v>354.5</v>
      </c>
      <c r="O12" s="87">
        <v>284.5</v>
      </c>
      <c r="P12" s="87">
        <v>283.5</v>
      </c>
      <c r="Q12" s="87"/>
      <c r="R12" s="166">
        <v>375</v>
      </c>
      <c r="S12" s="110"/>
      <c r="T12" s="158"/>
      <c r="W12" s="315">
        <f t="shared" si="1"/>
        <v>1.1555555555555554</v>
      </c>
      <c r="X12" s="315">
        <f t="shared" si="0"/>
        <v>1.7558620689655173</v>
      </c>
      <c r="Y12" s="315">
        <f t="shared" si="0"/>
        <v>2.4946236559139785</v>
      </c>
      <c r="Z12" s="315">
        <f t="shared" si="0"/>
        <v>1.7517630465444287</v>
      </c>
      <c r="AA12" s="315">
        <f t="shared" si="0"/>
        <v>2.4797891036906856</v>
      </c>
      <c r="AB12" s="315">
        <f t="shared" si="0"/>
        <v>2.472663139329806</v>
      </c>
      <c r="AC12" s="315">
        <f t="shared" si="0"/>
      </c>
      <c r="AD12" s="315">
        <f t="shared" si="0"/>
        <v>1.24</v>
      </c>
    </row>
    <row r="13" spans="2:30" ht="12.75">
      <c r="B13" s="164">
        <v>43003</v>
      </c>
      <c r="C13" s="165">
        <v>996</v>
      </c>
      <c r="D13" s="87">
        <v>971</v>
      </c>
      <c r="E13" s="87">
        <v>983.5</v>
      </c>
      <c r="F13" s="87">
        <v>935</v>
      </c>
      <c r="G13" s="87">
        <v>954</v>
      </c>
      <c r="H13" s="87">
        <v>916.5</v>
      </c>
      <c r="I13" s="87">
        <v>785.5</v>
      </c>
      <c r="J13" s="166">
        <v>935</v>
      </c>
      <c r="K13" s="165">
        <v>490</v>
      </c>
      <c r="L13" s="87">
        <v>371.5</v>
      </c>
      <c r="M13" s="87">
        <v>317.5</v>
      </c>
      <c r="N13" s="87">
        <v>384.5</v>
      </c>
      <c r="O13" s="87">
        <v>383</v>
      </c>
      <c r="P13" s="87">
        <v>269.5</v>
      </c>
      <c r="Q13" s="87">
        <v>225</v>
      </c>
      <c r="R13" s="166">
        <v>250</v>
      </c>
      <c r="S13" s="110"/>
      <c r="T13" s="158"/>
      <c r="W13" s="315">
        <f t="shared" si="1"/>
        <v>1.0326530612244897</v>
      </c>
      <c r="X13" s="315">
        <f t="shared" si="0"/>
        <v>1.613728129205922</v>
      </c>
      <c r="Y13" s="315">
        <f t="shared" si="0"/>
        <v>2.0976377952755905</v>
      </c>
      <c r="Z13" s="315">
        <f t="shared" si="0"/>
        <v>1.4317295188556567</v>
      </c>
      <c r="AA13" s="315">
        <f t="shared" si="0"/>
        <v>1.4908616187989556</v>
      </c>
      <c r="AB13" s="315">
        <f t="shared" si="0"/>
        <v>2.400742115027829</v>
      </c>
      <c r="AC13" s="315">
        <f t="shared" si="0"/>
        <v>2.491111111111111</v>
      </c>
      <c r="AD13" s="315">
        <f t="shared" si="0"/>
        <v>2.74</v>
      </c>
    </row>
    <row r="14" spans="2:30" ht="12.75">
      <c r="B14" s="164">
        <v>43010</v>
      </c>
      <c r="C14" s="165">
        <v>956</v>
      </c>
      <c r="D14" s="87">
        <v>965</v>
      </c>
      <c r="E14" s="87">
        <v>914</v>
      </c>
      <c r="F14" s="87">
        <v>920.5</v>
      </c>
      <c r="G14" s="87">
        <v>934.5</v>
      </c>
      <c r="H14" s="87">
        <v>925</v>
      </c>
      <c r="I14" s="87">
        <v>760.5</v>
      </c>
      <c r="J14" s="166">
        <v>916</v>
      </c>
      <c r="K14" s="165">
        <v>430</v>
      </c>
      <c r="L14" s="87">
        <v>373.5</v>
      </c>
      <c r="M14" s="87">
        <v>314.5</v>
      </c>
      <c r="N14" s="87">
        <v>395</v>
      </c>
      <c r="O14" s="87">
        <v>345.5</v>
      </c>
      <c r="P14" s="87">
        <v>268.5</v>
      </c>
      <c r="Q14" s="87">
        <v>250</v>
      </c>
      <c r="R14" s="166">
        <v>269</v>
      </c>
      <c r="S14" s="110"/>
      <c r="T14" s="158"/>
      <c r="W14" s="315">
        <f t="shared" si="1"/>
        <v>1.2232558139534884</v>
      </c>
      <c r="X14" s="315">
        <f t="shared" si="0"/>
        <v>1.5836680053547523</v>
      </c>
      <c r="Y14" s="315">
        <f t="shared" si="0"/>
        <v>1.9062003179650238</v>
      </c>
      <c r="Z14" s="315">
        <f t="shared" si="0"/>
        <v>1.330379746835443</v>
      </c>
      <c r="AA14" s="315">
        <f t="shared" si="0"/>
        <v>1.7047756874095514</v>
      </c>
      <c r="AB14" s="315">
        <f t="shared" si="0"/>
        <v>2.445065176908752</v>
      </c>
      <c r="AC14" s="315">
        <f t="shared" si="0"/>
        <v>2.042</v>
      </c>
      <c r="AD14" s="315">
        <f t="shared" si="0"/>
        <v>2.4052044609665426</v>
      </c>
    </row>
    <row r="15" spans="2:30" ht="12.75">
      <c r="B15" s="164">
        <v>43017</v>
      </c>
      <c r="C15" s="165">
        <v>899</v>
      </c>
      <c r="D15" s="87">
        <v>936</v>
      </c>
      <c r="E15" s="87">
        <v>985.5</v>
      </c>
      <c r="F15" s="87">
        <v>922.5</v>
      </c>
      <c r="G15" s="87">
        <v>921.5</v>
      </c>
      <c r="H15" s="87">
        <v>937</v>
      </c>
      <c r="I15" s="87">
        <v>922</v>
      </c>
      <c r="J15" s="166">
        <v>857</v>
      </c>
      <c r="K15" s="165">
        <v>520</v>
      </c>
      <c r="L15" s="87">
        <v>395</v>
      </c>
      <c r="M15" s="87">
        <v>308</v>
      </c>
      <c r="N15" s="87">
        <v>384</v>
      </c>
      <c r="O15" s="87">
        <v>334.5</v>
      </c>
      <c r="P15" s="87">
        <v>261.5</v>
      </c>
      <c r="Q15" s="87">
        <v>250</v>
      </c>
      <c r="R15" s="166">
        <v>375</v>
      </c>
      <c r="S15" s="110"/>
      <c r="T15" s="158"/>
      <c r="W15" s="315">
        <f t="shared" si="1"/>
        <v>0.7288461538461538</v>
      </c>
      <c r="X15" s="315">
        <f t="shared" si="0"/>
        <v>1.369620253164557</v>
      </c>
      <c r="Y15" s="315">
        <f t="shared" si="0"/>
        <v>2.199675324675325</v>
      </c>
      <c r="Z15" s="315">
        <f t="shared" si="0"/>
        <v>1.40234375</v>
      </c>
      <c r="AA15" s="315">
        <f t="shared" si="0"/>
        <v>1.7548579970104634</v>
      </c>
      <c r="AB15" s="315">
        <f t="shared" si="0"/>
        <v>2.5831739961759084</v>
      </c>
      <c r="AC15" s="315">
        <f t="shared" si="0"/>
        <v>2.688</v>
      </c>
      <c r="AD15" s="315">
        <f t="shared" si="0"/>
        <v>1.2853333333333334</v>
      </c>
    </row>
    <row r="16" spans="2:30" ht="12.75">
      <c r="B16" s="164">
        <v>43024</v>
      </c>
      <c r="C16" s="165">
        <v>975</v>
      </c>
      <c r="D16" s="87">
        <v>883</v>
      </c>
      <c r="E16" s="87">
        <v>974</v>
      </c>
      <c r="F16" s="87">
        <v>903.5</v>
      </c>
      <c r="G16" s="87">
        <v>905.5</v>
      </c>
      <c r="H16" s="87">
        <v>895</v>
      </c>
      <c r="I16" s="87">
        <v>727.5</v>
      </c>
      <c r="J16" s="166">
        <v>849</v>
      </c>
      <c r="K16" s="165">
        <v>480</v>
      </c>
      <c r="L16" s="87">
        <v>325</v>
      </c>
      <c r="M16" s="87">
        <v>295</v>
      </c>
      <c r="N16" s="87">
        <v>368.5</v>
      </c>
      <c r="O16" s="87">
        <v>311.5</v>
      </c>
      <c r="P16" s="87">
        <v>263.5</v>
      </c>
      <c r="Q16" s="87">
        <v>263</v>
      </c>
      <c r="R16" s="166">
        <v>375</v>
      </c>
      <c r="S16" s="110"/>
      <c r="T16" s="158"/>
      <c r="W16" s="315">
        <f t="shared" si="1"/>
        <v>1.03125</v>
      </c>
      <c r="X16" s="315">
        <f t="shared" si="0"/>
        <v>1.716923076923077</v>
      </c>
      <c r="Y16" s="315">
        <f t="shared" si="0"/>
        <v>2.301694915254237</v>
      </c>
      <c r="Z16" s="315">
        <f t="shared" si="0"/>
        <v>1.451831750339213</v>
      </c>
      <c r="AA16" s="315">
        <f t="shared" si="0"/>
        <v>1.9069020866773676</v>
      </c>
      <c r="AB16" s="315">
        <f t="shared" si="0"/>
        <v>2.396584440227704</v>
      </c>
      <c r="AC16" s="315">
        <f t="shared" si="0"/>
        <v>1.7661596958174905</v>
      </c>
      <c r="AD16" s="315">
        <f t="shared" si="0"/>
        <v>1.264</v>
      </c>
    </row>
    <row r="17" spans="2:30" ht="12.75">
      <c r="B17" s="164">
        <v>43031</v>
      </c>
      <c r="C17" s="165">
        <v>945</v>
      </c>
      <c r="D17" s="87">
        <v>856</v>
      </c>
      <c r="E17" s="87">
        <v>980</v>
      </c>
      <c r="F17" s="87">
        <v>902</v>
      </c>
      <c r="G17" s="87">
        <v>901</v>
      </c>
      <c r="H17" s="87">
        <v>859.5</v>
      </c>
      <c r="I17" s="87">
        <v>749</v>
      </c>
      <c r="J17" s="166">
        <v>846</v>
      </c>
      <c r="K17" s="165">
        <v>500</v>
      </c>
      <c r="L17" s="87">
        <v>410</v>
      </c>
      <c r="M17" s="87">
        <v>326</v>
      </c>
      <c r="N17" s="87">
        <v>410</v>
      </c>
      <c r="O17" s="87">
        <v>335.5</v>
      </c>
      <c r="P17" s="87">
        <v>272</v>
      </c>
      <c r="Q17" s="87">
        <v>328</v>
      </c>
      <c r="R17" s="166">
        <v>400</v>
      </c>
      <c r="S17" s="110"/>
      <c r="T17" s="158"/>
      <c r="W17" s="315">
        <f t="shared" si="1"/>
        <v>0.89</v>
      </c>
      <c r="X17" s="315">
        <f t="shared" si="0"/>
        <v>1.0878048780487806</v>
      </c>
      <c r="Y17" s="315">
        <f t="shared" si="0"/>
        <v>2.0061349693251533</v>
      </c>
      <c r="Z17" s="315">
        <f t="shared" si="0"/>
        <v>1.2</v>
      </c>
      <c r="AA17" s="315">
        <f t="shared" si="0"/>
        <v>1.6855439642324888</v>
      </c>
      <c r="AB17" s="315">
        <f t="shared" si="0"/>
        <v>2.1599264705882355</v>
      </c>
      <c r="AC17" s="315">
        <f t="shared" si="0"/>
        <v>1.2835365853658536</v>
      </c>
      <c r="AD17" s="315">
        <f t="shared" si="0"/>
        <v>1.115</v>
      </c>
    </row>
    <row r="18" spans="2:30" ht="12.75">
      <c r="B18" s="164">
        <v>43038</v>
      </c>
      <c r="C18" s="165">
        <v>995</v>
      </c>
      <c r="D18" s="87">
        <v>894</v>
      </c>
      <c r="E18" s="87">
        <v>947</v>
      </c>
      <c r="F18" s="87">
        <v>877</v>
      </c>
      <c r="G18" s="87">
        <v>973</v>
      </c>
      <c r="H18" s="87">
        <v>906.5</v>
      </c>
      <c r="I18" s="87">
        <v>724</v>
      </c>
      <c r="J18" s="166">
        <v>880</v>
      </c>
      <c r="K18" s="165"/>
      <c r="L18" s="87">
        <v>402</v>
      </c>
      <c r="M18" s="87">
        <v>325</v>
      </c>
      <c r="N18" s="87">
        <v>384.5</v>
      </c>
      <c r="O18" s="87">
        <v>362.5</v>
      </c>
      <c r="P18" s="87">
        <v>272</v>
      </c>
      <c r="Q18" s="87">
        <v>294</v>
      </c>
      <c r="R18" s="166"/>
      <c r="S18" s="110"/>
      <c r="T18" s="158"/>
      <c r="W18" s="315">
        <f t="shared" si="1"/>
      </c>
      <c r="X18" s="315">
        <f t="shared" si="0"/>
        <v>1.2238805970149254</v>
      </c>
      <c r="Y18" s="315">
        <f t="shared" si="0"/>
        <v>1.9138461538461538</v>
      </c>
      <c r="Z18" s="315">
        <f t="shared" si="0"/>
        <v>1.2808842652795838</v>
      </c>
      <c r="AA18" s="315">
        <f t="shared" si="0"/>
        <v>1.6841379310344828</v>
      </c>
      <c r="AB18" s="315">
        <f t="shared" si="0"/>
        <v>2.332720588235294</v>
      </c>
      <c r="AC18" s="315">
        <f t="shared" si="0"/>
        <v>1.4625850340136055</v>
      </c>
      <c r="AD18" s="315">
        <f t="shared" si="0"/>
      </c>
    </row>
    <row r="19" spans="2:30" ht="12.75">
      <c r="B19" s="164">
        <v>43045</v>
      </c>
      <c r="C19" s="165">
        <v>880</v>
      </c>
      <c r="D19" s="87">
        <v>1007</v>
      </c>
      <c r="E19" s="87">
        <v>984.5</v>
      </c>
      <c r="F19" s="87">
        <v>937.5</v>
      </c>
      <c r="G19" s="87">
        <v>968.5</v>
      </c>
      <c r="H19" s="87">
        <v>1008</v>
      </c>
      <c r="I19" s="87">
        <v>991.5</v>
      </c>
      <c r="J19" s="166">
        <v>1024</v>
      </c>
      <c r="K19" s="165">
        <v>502.5</v>
      </c>
      <c r="L19" s="87">
        <v>440</v>
      </c>
      <c r="M19" s="87">
        <v>372</v>
      </c>
      <c r="N19" s="87">
        <v>440</v>
      </c>
      <c r="O19" s="87">
        <v>364.5</v>
      </c>
      <c r="P19" s="87">
        <v>324</v>
      </c>
      <c r="Q19" s="87">
        <v>370</v>
      </c>
      <c r="R19" s="166">
        <v>358.5</v>
      </c>
      <c r="S19" s="110"/>
      <c r="T19" s="158"/>
      <c r="W19" s="315">
        <f t="shared" si="1"/>
        <v>0.7512437810945274</v>
      </c>
      <c r="X19" s="315">
        <f t="shared" si="0"/>
        <v>1.2886363636363636</v>
      </c>
      <c r="Y19" s="315">
        <f t="shared" si="0"/>
        <v>1.646505376344086</v>
      </c>
      <c r="Z19" s="315">
        <f t="shared" si="0"/>
        <v>1.1306818181818181</v>
      </c>
      <c r="AA19" s="315">
        <f t="shared" si="0"/>
        <v>1.6570644718792866</v>
      </c>
      <c r="AB19" s="315">
        <f t="shared" si="0"/>
        <v>2.111111111111111</v>
      </c>
      <c r="AC19" s="315">
        <f t="shared" si="0"/>
        <v>1.6797297297297298</v>
      </c>
      <c r="AD19" s="315">
        <f t="shared" si="0"/>
        <v>1.8563458856345885</v>
      </c>
    </row>
    <row r="20" spans="2:30" ht="12.75">
      <c r="B20" s="164">
        <v>43052</v>
      </c>
      <c r="C20" s="165">
        <v>1069.5</v>
      </c>
      <c r="D20" s="87">
        <v>1096</v>
      </c>
      <c r="E20" s="87">
        <v>1048</v>
      </c>
      <c r="F20" s="87">
        <v>976.5</v>
      </c>
      <c r="G20" s="87">
        <v>970</v>
      </c>
      <c r="H20" s="87">
        <v>1067.5</v>
      </c>
      <c r="I20" s="87">
        <v>833</v>
      </c>
      <c r="J20" s="166">
        <v>889</v>
      </c>
      <c r="K20" s="165">
        <v>625</v>
      </c>
      <c r="L20" s="87">
        <v>526</v>
      </c>
      <c r="M20" s="87">
        <v>357</v>
      </c>
      <c r="N20" s="87">
        <v>443</v>
      </c>
      <c r="O20" s="87">
        <v>416.5</v>
      </c>
      <c r="P20" s="87">
        <v>315</v>
      </c>
      <c r="Q20" s="87">
        <v>398</v>
      </c>
      <c r="R20" s="166">
        <v>231.5</v>
      </c>
      <c r="S20" s="110"/>
      <c r="T20" s="158"/>
      <c r="W20" s="315">
        <f t="shared" si="1"/>
        <v>0.7112</v>
      </c>
      <c r="X20" s="315">
        <f t="shared" si="0"/>
        <v>1.0836501901140685</v>
      </c>
      <c r="Y20" s="315">
        <f t="shared" si="0"/>
        <v>1.9355742296918768</v>
      </c>
      <c r="Z20" s="315">
        <f t="shared" si="0"/>
        <v>1.2042889390519187</v>
      </c>
      <c r="AA20" s="315">
        <f t="shared" si="0"/>
        <v>1.3289315726290516</v>
      </c>
      <c r="AB20" s="315">
        <f t="shared" si="0"/>
        <v>2.388888888888889</v>
      </c>
      <c r="AC20" s="315">
        <f t="shared" si="0"/>
        <v>1.092964824120603</v>
      </c>
      <c r="AD20" s="315">
        <f t="shared" si="0"/>
        <v>2.840172786177106</v>
      </c>
    </row>
    <row r="21" spans="2:30" ht="12.75">
      <c r="B21" s="164">
        <v>43059</v>
      </c>
      <c r="C21" s="165">
        <v>1093</v>
      </c>
      <c r="D21" s="87">
        <v>1109</v>
      </c>
      <c r="E21" s="87">
        <v>995.5</v>
      </c>
      <c r="F21" s="87">
        <v>991</v>
      </c>
      <c r="G21" s="87">
        <v>973.5</v>
      </c>
      <c r="H21" s="87">
        <v>1022.5</v>
      </c>
      <c r="I21" s="87">
        <v>750</v>
      </c>
      <c r="J21" s="166">
        <v>1127</v>
      </c>
      <c r="K21" s="165">
        <v>560</v>
      </c>
      <c r="L21" s="87">
        <v>550</v>
      </c>
      <c r="M21" s="87">
        <v>386.5</v>
      </c>
      <c r="N21" s="87">
        <v>439.5</v>
      </c>
      <c r="O21" s="87">
        <v>418</v>
      </c>
      <c r="P21" s="87">
        <v>334</v>
      </c>
      <c r="Q21" s="87">
        <v>340</v>
      </c>
      <c r="R21" s="166">
        <v>358.5</v>
      </c>
      <c r="S21" s="110"/>
      <c r="T21" s="158"/>
      <c r="W21" s="315">
        <f t="shared" si="1"/>
        <v>0.9517857142857142</v>
      </c>
      <c r="X21" s="315">
        <f t="shared" si="0"/>
        <v>1.0163636363636364</v>
      </c>
      <c r="Y21" s="315">
        <f t="shared" si="0"/>
        <v>1.575679172056921</v>
      </c>
      <c r="Z21" s="315">
        <f t="shared" si="0"/>
        <v>1.254835039817975</v>
      </c>
      <c r="AA21" s="315">
        <f t="shared" si="0"/>
        <v>1.3289473684210527</v>
      </c>
      <c r="AB21" s="315">
        <f t="shared" si="0"/>
        <v>2.061377245508982</v>
      </c>
      <c r="AC21" s="315">
        <f t="shared" si="0"/>
        <v>1.2058823529411764</v>
      </c>
      <c r="AD21" s="315">
        <f t="shared" si="0"/>
        <v>2.1436541143654115</v>
      </c>
    </row>
    <row r="22" spans="2:30" ht="12.75">
      <c r="B22" s="164">
        <v>43066</v>
      </c>
      <c r="C22" s="165">
        <v>1138</v>
      </c>
      <c r="D22" s="87">
        <v>1061</v>
      </c>
      <c r="E22" s="87">
        <v>1003.5</v>
      </c>
      <c r="F22" s="87">
        <v>1044.5</v>
      </c>
      <c r="G22" s="87">
        <v>1028</v>
      </c>
      <c r="H22" s="87">
        <v>1078</v>
      </c>
      <c r="I22" s="87">
        <v>777.5</v>
      </c>
      <c r="J22" s="166">
        <v>893</v>
      </c>
      <c r="K22" s="165">
        <v>642</v>
      </c>
      <c r="L22" s="87">
        <v>550</v>
      </c>
      <c r="M22" s="87">
        <v>350</v>
      </c>
      <c r="N22" s="87">
        <v>407</v>
      </c>
      <c r="O22" s="87">
        <v>439.5</v>
      </c>
      <c r="P22" s="87">
        <v>323</v>
      </c>
      <c r="Q22" s="87">
        <v>326</v>
      </c>
      <c r="R22" s="166">
        <v>281.5</v>
      </c>
      <c r="S22" s="110"/>
      <c r="T22" s="158"/>
      <c r="W22" s="315">
        <f t="shared" si="1"/>
        <v>0.7725856697819314</v>
      </c>
      <c r="X22" s="315">
        <f t="shared" si="0"/>
        <v>0.9290909090909091</v>
      </c>
      <c r="Y22" s="315">
        <f t="shared" si="0"/>
        <v>1.8671428571428572</v>
      </c>
      <c r="Z22" s="315">
        <f t="shared" si="0"/>
        <v>1.5663390663390664</v>
      </c>
      <c r="AA22" s="315">
        <f t="shared" si="0"/>
        <v>1.3390216154721275</v>
      </c>
      <c r="AB22" s="315">
        <f t="shared" si="0"/>
        <v>2.3374613003095974</v>
      </c>
      <c r="AC22" s="315">
        <f t="shared" si="0"/>
        <v>1.3849693251533743</v>
      </c>
      <c r="AD22" s="315">
        <f t="shared" si="0"/>
        <v>2.172291296625222</v>
      </c>
    </row>
    <row r="23" spans="2:30" ht="12.75">
      <c r="B23" s="164">
        <v>43073</v>
      </c>
      <c r="C23" s="165">
        <v>1187</v>
      </c>
      <c r="D23" s="87">
        <v>1135</v>
      </c>
      <c r="E23" s="87">
        <v>977.5</v>
      </c>
      <c r="F23" s="87">
        <v>1010</v>
      </c>
      <c r="G23" s="87">
        <v>1181.5</v>
      </c>
      <c r="H23" s="87">
        <v>1074</v>
      </c>
      <c r="I23" s="87">
        <v>720</v>
      </c>
      <c r="J23" s="293">
        <v>1173</v>
      </c>
      <c r="K23" s="165">
        <v>610</v>
      </c>
      <c r="L23" s="87">
        <v>491.5</v>
      </c>
      <c r="M23" s="87">
        <v>373.5</v>
      </c>
      <c r="N23" s="87">
        <v>432</v>
      </c>
      <c r="O23" s="87">
        <v>419</v>
      </c>
      <c r="P23" s="87">
        <v>359.5</v>
      </c>
      <c r="Q23" s="87">
        <v>556</v>
      </c>
      <c r="R23" s="166">
        <v>816.5</v>
      </c>
      <c r="S23" s="110"/>
      <c r="T23" s="158"/>
      <c r="W23" s="315">
        <f t="shared" si="1"/>
        <v>0.9459016393442623</v>
      </c>
      <c r="X23" s="315">
        <f aca="true" t="shared" si="2" ref="X23:AD26">+IF(L23="","",((D23-L23)/L23))</f>
        <v>1.3092573753814853</v>
      </c>
      <c r="Y23" s="315">
        <f t="shared" si="2"/>
        <v>1.6171352074966532</v>
      </c>
      <c r="Z23" s="315">
        <f t="shared" si="2"/>
        <v>1.337962962962963</v>
      </c>
      <c r="AA23" s="315">
        <f t="shared" si="2"/>
        <v>1.8198090692124105</v>
      </c>
      <c r="AB23" s="315">
        <f t="shared" si="2"/>
        <v>1.9874826147426983</v>
      </c>
      <c r="AC23" s="315">
        <f t="shared" si="2"/>
        <v>0.2949640287769784</v>
      </c>
      <c r="AD23" s="315">
        <f t="shared" si="2"/>
        <v>0.43661971830985913</v>
      </c>
    </row>
    <row r="24" spans="2:30" ht="12.75">
      <c r="B24" s="164">
        <v>43080</v>
      </c>
      <c r="C24" s="165">
        <v>1340</v>
      </c>
      <c r="D24" s="87">
        <v>1138</v>
      </c>
      <c r="E24" s="87">
        <v>1019</v>
      </c>
      <c r="F24" s="87">
        <v>1011.5</v>
      </c>
      <c r="G24" s="87">
        <v>1018.5</v>
      </c>
      <c r="H24" s="87">
        <v>1065.5</v>
      </c>
      <c r="I24" s="87">
        <v>1001</v>
      </c>
      <c r="J24" s="293">
        <v>1180</v>
      </c>
      <c r="K24" s="165">
        <v>650</v>
      </c>
      <c r="L24" s="87">
        <v>532</v>
      </c>
      <c r="M24" s="87">
        <v>450</v>
      </c>
      <c r="N24" s="87">
        <v>482.5</v>
      </c>
      <c r="O24" s="87">
        <v>510.5</v>
      </c>
      <c r="P24" s="87">
        <v>381.5</v>
      </c>
      <c r="Q24" s="87">
        <v>408</v>
      </c>
      <c r="R24" s="166">
        <v>737.5</v>
      </c>
      <c r="S24" s="110"/>
      <c r="T24" s="158"/>
      <c r="W24" s="315">
        <f t="shared" si="1"/>
        <v>1.0615384615384615</v>
      </c>
      <c r="X24" s="315">
        <f t="shared" si="2"/>
        <v>1.1390977443609023</v>
      </c>
      <c r="Y24" s="315">
        <f t="shared" si="2"/>
        <v>1.2644444444444445</v>
      </c>
      <c r="Z24" s="315">
        <f t="shared" si="2"/>
        <v>1.0963730569948187</v>
      </c>
      <c r="AA24" s="315">
        <f t="shared" si="2"/>
        <v>0.9951028403525954</v>
      </c>
      <c r="AB24" s="315">
        <f t="shared" si="2"/>
        <v>1.7929226736566186</v>
      </c>
      <c r="AC24" s="315">
        <f t="shared" si="2"/>
        <v>1.4534313725490196</v>
      </c>
      <c r="AD24" s="315">
        <f t="shared" si="2"/>
        <v>0.6</v>
      </c>
    </row>
    <row r="25" spans="2:30" ht="12.75">
      <c r="B25" s="164">
        <v>43087</v>
      </c>
      <c r="C25" s="165">
        <v>1145</v>
      </c>
      <c r="D25" s="87">
        <v>1133</v>
      </c>
      <c r="E25" s="87">
        <v>1076</v>
      </c>
      <c r="F25" s="87">
        <v>1018.5</v>
      </c>
      <c r="G25" s="87">
        <v>1015</v>
      </c>
      <c r="H25" s="87">
        <v>1058.5</v>
      </c>
      <c r="I25" s="87">
        <v>943</v>
      </c>
      <c r="J25" s="293">
        <v>1290</v>
      </c>
      <c r="K25" s="165">
        <v>625</v>
      </c>
      <c r="L25" s="87">
        <v>534.5</v>
      </c>
      <c r="M25" s="87">
        <v>450</v>
      </c>
      <c r="N25" s="87">
        <v>501</v>
      </c>
      <c r="O25" s="87">
        <v>508.5</v>
      </c>
      <c r="P25" s="87">
        <v>401.5</v>
      </c>
      <c r="Q25" s="87">
        <v>413</v>
      </c>
      <c r="R25" s="166">
        <v>775</v>
      </c>
      <c r="S25" s="110"/>
      <c r="T25" s="158"/>
      <c r="W25" s="315">
        <f t="shared" si="1"/>
        <v>0.832</v>
      </c>
      <c r="X25" s="315">
        <f t="shared" si="2"/>
        <v>1.1197380729653883</v>
      </c>
      <c r="Y25" s="315">
        <f t="shared" si="2"/>
        <v>1.3911111111111112</v>
      </c>
      <c r="Z25" s="315">
        <f t="shared" si="2"/>
        <v>1.032934131736527</v>
      </c>
      <c r="AA25" s="315">
        <f t="shared" si="2"/>
        <v>0.9960668633235005</v>
      </c>
      <c r="AB25" s="315">
        <f t="shared" si="2"/>
        <v>1.6363636363636365</v>
      </c>
      <c r="AC25" s="315">
        <f t="shared" si="2"/>
        <v>1.2832929782082325</v>
      </c>
      <c r="AD25" s="315">
        <f t="shared" si="2"/>
        <v>0.6645161290322581</v>
      </c>
    </row>
    <row r="26" spans="2:30" ht="12.75">
      <c r="B26" s="167">
        <v>43094</v>
      </c>
      <c r="C26" s="168">
        <v>1135</v>
      </c>
      <c r="D26" s="32">
        <v>1173</v>
      </c>
      <c r="E26" s="32">
        <v>1036.5</v>
      </c>
      <c r="F26" s="32">
        <v>1032</v>
      </c>
      <c r="G26" s="32">
        <v>1003</v>
      </c>
      <c r="H26" s="32">
        <v>1040.5</v>
      </c>
      <c r="I26" s="32">
        <v>1072</v>
      </c>
      <c r="J26" s="294">
        <v>1098</v>
      </c>
      <c r="K26" s="168">
        <v>675</v>
      </c>
      <c r="L26" s="32">
        <v>540.5</v>
      </c>
      <c r="M26" s="32">
        <v>450</v>
      </c>
      <c r="N26" s="32">
        <v>525</v>
      </c>
      <c r="O26" s="32">
        <v>500</v>
      </c>
      <c r="P26" s="32">
        <v>390</v>
      </c>
      <c r="Q26" s="32"/>
      <c r="R26" s="169">
        <v>767</v>
      </c>
      <c r="S26" s="110"/>
      <c r="T26" s="158"/>
      <c r="U26" s="157"/>
      <c r="V26" s="310"/>
      <c r="W26" s="315">
        <f t="shared" si="1"/>
        <v>0.6814814814814815</v>
      </c>
      <c r="X26" s="315">
        <f t="shared" si="2"/>
        <v>1.1702127659574468</v>
      </c>
      <c r="Y26" s="315">
        <f t="shared" si="2"/>
        <v>1.3033333333333332</v>
      </c>
      <c r="Z26" s="315">
        <f t="shared" si="2"/>
        <v>0.9657142857142857</v>
      </c>
      <c r="AA26" s="315">
        <f t="shared" si="2"/>
        <v>1.006</v>
      </c>
      <c r="AB26" s="315">
        <f t="shared" si="2"/>
        <v>1.667948717948718</v>
      </c>
      <c r="AC26" s="315">
        <f t="shared" si="2"/>
      </c>
      <c r="AD26" s="315">
        <f t="shared" si="2"/>
        <v>0.4315514993481095</v>
      </c>
    </row>
    <row r="27" spans="2:21" ht="12.75">
      <c r="B27" s="34" t="s">
        <v>191</v>
      </c>
      <c r="P27" s="40"/>
      <c r="Q27" s="40"/>
      <c r="T27" s="170"/>
      <c r="U27" s="157"/>
    </row>
    <row r="28" spans="20:30" ht="12.75">
      <c r="T28" s="158"/>
      <c r="V28" s="317" t="s">
        <v>217</v>
      </c>
      <c r="W28" s="314">
        <f aca="true" t="shared" si="3" ref="W28:AD28">+AVERAGE(C7:C26)</f>
        <v>1012.775</v>
      </c>
      <c r="X28" s="314">
        <f t="shared" si="3"/>
        <v>997.3</v>
      </c>
      <c r="Y28" s="314">
        <f t="shared" si="3"/>
        <v>983.375</v>
      </c>
      <c r="Z28" s="314">
        <f t="shared" si="3"/>
        <v>957.625</v>
      </c>
      <c r="AA28" s="314">
        <f t="shared" si="3"/>
        <v>972.5</v>
      </c>
      <c r="AB28" s="314">
        <f t="shared" si="3"/>
        <v>962.85</v>
      </c>
      <c r="AC28" s="314">
        <f t="shared" si="3"/>
        <v>846.5</v>
      </c>
      <c r="AD28" s="314">
        <f t="shared" si="3"/>
        <v>951.5</v>
      </c>
    </row>
    <row r="29" spans="20:30" ht="12.75">
      <c r="T29" s="158"/>
      <c r="V29" s="317" t="s">
        <v>218</v>
      </c>
      <c r="W29" s="314">
        <f aca="true" t="shared" si="4" ref="W29:AD29">+AVERAGE(K7:K26)</f>
        <v>524.5</v>
      </c>
      <c r="X29" s="314">
        <f t="shared" si="4"/>
        <v>427.85</v>
      </c>
      <c r="Y29" s="314">
        <f t="shared" si="4"/>
        <v>345.425</v>
      </c>
      <c r="Z29" s="314">
        <f t="shared" si="4"/>
        <v>405.325</v>
      </c>
      <c r="AA29" s="314">
        <f t="shared" si="4"/>
        <v>396.275</v>
      </c>
      <c r="AB29" s="314">
        <f t="shared" si="4"/>
        <v>302.8</v>
      </c>
      <c r="AC29" s="314">
        <f t="shared" si="4"/>
        <v>313.8611111111111</v>
      </c>
      <c r="AD29" s="314">
        <f t="shared" si="4"/>
        <v>410.5</v>
      </c>
    </row>
    <row r="30" spans="20:30" ht="12.75">
      <c r="T30" s="158"/>
      <c r="V30" s="317" t="s">
        <v>185</v>
      </c>
      <c r="W30" s="315">
        <f>+W28/W29-1</f>
        <v>0.9309342230695901</v>
      </c>
      <c r="X30" s="315">
        <f aca="true" t="shared" si="5" ref="X30:AD30">+X28/X29-1</f>
        <v>1.3309571111370806</v>
      </c>
      <c r="Y30" s="315">
        <f t="shared" si="5"/>
        <v>1.8468553231526381</v>
      </c>
      <c r="Z30" s="315">
        <f t="shared" si="5"/>
        <v>1.3626102510331215</v>
      </c>
      <c r="AA30" s="315">
        <f t="shared" si="5"/>
        <v>1.454103842028894</v>
      </c>
      <c r="AB30" s="315">
        <f t="shared" si="5"/>
        <v>2.1798216644649933</v>
      </c>
      <c r="AC30" s="315">
        <f t="shared" si="5"/>
        <v>1.6970528365342066</v>
      </c>
      <c r="AD30" s="315">
        <f t="shared" si="5"/>
        <v>1.317904993909866</v>
      </c>
    </row>
    <row r="31" ht="12.75">
      <c r="T31" s="158"/>
    </row>
    <row r="32" ht="12.75">
      <c r="T32" s="158"/>
    </row>
    <row r="33" ht="12.75">
      <c r="T33" s="158"/>
    </row>
    <row r="34" ht="12.75">
      <c r="T34" s="158"/>
    </row>
    <row r="35" ht="12.75">
      <c r="T35" s="158"/>
    </row>
    <row r="36" ht="12.75">
      <c r="T36" s="158"/>
    </row>
    <row r="47" ht="12.75">
      <c r="C47" s="34" t="s">
        <v>191</v>
      </c>
    </row>
  </sheetData>
  <sheetProtection/>
  <mergeCells count="5">
    <mergeCell ref="B2:R2"/>
    <mergeCell ref="B3:R3"/>
    <mergeCell ref="B4:R4"/>
    <mergeCell ref="C5:J5"/>
    <mergeCell ref="K5:R5"/>
  </mergeCells>
  <conditionalFormatting sqref="W28:AD28">
    <cfRule type="top10" priority="5" dxfId="42" rank="1" bottom="1"/>
    <cfRule type="top10" priority="6" dxfId="43" rank="1"/>
  </conditionalFormatting>
  <conditionalFormatting sqref="W29:AD29">
    <cfRule type="top10" priority="3" dxfId="42" rank="1" bottom="1"/>
    <cfRule type="top10" priority="4" dxfId="43" rank="1"/>
  </conditionalFormatting>
  <conditionalFormatting sqref="W30:AD30">
    <cfRule type="top10" priority="1" dxfId="42" rank="1" bottom="1"/>
    <cfRule type="top10" priority="2" dxfId="43" rank="1"/>
  </conditionalFormatting>
  <hyperlinks>
    <hyperlink ref="T2" location="Índice!A1" display="Volver al índice"/>
  </hyperlink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122" scale="61"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2:L51"/>
  <sheetViews>
    <sheetView zoomScale="80" zoomScaleNormal="80" zoomScaleSheetLayoutView="80" zoomScalePageLayoutView="80" workbookViewId="0" topLeftCell="A1">
      <selection activeCell="A1" sqref="A1"/>
    </sheetView>
  </sheetViews>
  <sheetFormatPr defaultColWidth="14.421875" defaultRowHeight="15"/>
  <cols>
    <col min="1" max="1" width="1.421875" style="20" customWidth="1"/>
    <col min="2" max="7" width="18.421875" style="20" customWidth="1"/>
    <col min="8" max="8" width="14.421875" style="20" customWidth="1"/>
    <col min="9" max="9" width="5.28125" style="142" customWidth="1"/>
    <col min="10" max="10" width="7.28125" style="134" hidden="1" customWidth="1"/>
    <col min="11" max="12" width="8.421875" style="134" hidden="1" customWidth="1"/>
    <col min="13" max="13" width="14.421875" style="142" customWidth="1"/>
    <col min="14" max="16384" width="14.421875" style="20" customWidth="1"/>
  </cols>
  <sheetData>
    <row r="1" ht="6" customHeight="1"/>
    <row r="2" spans="1:9" ht="12.75">
      <c r="A2" s="2"/>
      <c r="C2" s="367" t="s">
        <v>14</v>
      </c>
      <c r="D2" s="367"/>
      <c r="E2" s="367"/>
      <c r="F2" s="367"/>
      <c r="H2" s="44" t="s">
        <v>147</v>
      </c>
      <c r="I2" s="141"/>
    </row>
    <row r="3" spans="1:6" ht="12.75">
      <c r="A3" s="2"/>
      <c r="C3" s="367" t="s">
        <v>120</v>
      </c>
      <c r="D3" s="367"/>
      <c r="E3" s="367"/>
      <c r="F3" s="367"/>
    </row>
    <row r="4" spans="1:6" ht="12.75">
      <c r="A4" s="2"/>
      <c r="C4" s="25"/>
      <c r="D4" s="25"/>
      <c r="E4" s="25"/>
      <c r="F4" s="25"/>
    </row>
    <row r="5" spans="1:6" ht="12.75" customHeight="1">
      <c r="A5" s="2"/>
      <c r="C5" s="368" t="s">
        <v>13</v>
      </c>
      <c r="D5" s="370" t="s">
        <v>148</v>
      </c>
      <c r="E5" s="370" t="s">
        <v>149</v>
      </c>
      <c r="F5" s="370" t="s">
        <v>150</v>
      </c>
    </row>
    <row r="6" spans="1:6" ht="12.75">
      <c r="A6" s="2"/>
      <c r="C6" s="369"/>
      <c r="D6" s="371"/>
      <c r="E6" s="371"/>
      <c r="F6" s="371"/>
    </row>
    <row r="7" spans="1:9" ht="12.75">
      <c r="A7" s="2"/>
      <c r="C7" s="25" t="s">
        <v>12</v>
      </c>
      <c r="D7" s="76">
        <v>63110</v>
      </c>
      <c r="E7" s="76">
        <v>1210044.3</v>
      </c>
      <c r="F7" s="82">
        <v>19.173574710822372</v>
      </c>
      <c r="H7" s="125"/>
      <c r="I7" s="140"/>
    </row>
    <row r="8" spans="1:12" ht="12.75">
      <c r="A8" s="2"/>
      <c r="C8" s="25" t="s">
        <v>11</v>
      </c>
      <c r="D8" s="76">
        <v>61360</v>
      </c>
      <c r="E8" s="76">
        <v>1303267.5</v>
      </c>
      <c r="F8" s="82">
        <v>21.239691981747065</v>
      </c>
      <c r="J8" s="300">
        <f aca="true" t="shared" si="0" ref="J8:J22">+(D8-D7)/D7</f>
        <v>-0.027729361432419584</v>
      </c>
      <c r="K8" s="300">
        <f aca="true" t="shared" si="1" ref="K8:L22">+(E8-E7)/E7</f>
        <v>0.07704114634480734</v>
      </c>
      <c r="L8" s="300">
        <f t="shared" si="1"/>
        <v>0.10775858451468047</v>
      </c>
    </row>
    <row r="9" spans="1:12" ht="12.75">
      <c r="A9" s="2"/>
      <c r="C9" s="25" t="s">
        <v>10</v>
      </c>
      <c r="D9" s="76">
        <v>56000</v>
      </c>
      <c r="E9" s="76">
        <v>1093728.4</v>
      </c>
      <c r="F9" s="82">
        <v>19.530864285714287</v>
      </c>
      <c r="J9" s="300">
        <f t="shared" si="0"/>
        <v>-0.08735332464146023</v>
      </c>
      <c r="K9" s="300">
        <f t="shared" si="1"/>
        <v>-0.16077980921031185</v>
      </c>
      <c r="L9" s="300">
        <f t="shared" si="1"/>
        <v>-0.08045444809187004</v>
      </c>
    </row>
    <row r="10" spans="1:12" ht="12.75" customHeight="1">
      <c r="A10" s="2"/>
      <c r="C10" s="25" t="s">
        <v>9</v>
      </c>
      <c r="D10" s="76">
        <v>59560</v>
      </c>
      <c r="E10" s="76">
        <v>1144170</v>
      </c>
      <c r="F10" s="82">
        <v>19.210376091336467</v>
      </c>
      <c r="J10" s="300">
        <f t="shared" si="0"/>
        <v>0.06357142857142857</v>
      </c>
      <c r="K10" s="300">
        <f t="shared" si="1"/>
        <v>0.04611894506899528</v>
      </c>
      <c r="L10" s="300">
        <f t="shared" si="1"/>
        <v>-0.016409319612764834</v>
      </c>
    </row>
    <row r="11" spans="1:12" ht="12.75">
      <c r="A11" s="2"/>
      <c r="C11" s="25" t="s">
        <v>8</v>
      </c>
      <c r="D11" s="76">
        <v>55620</v>
      </c>
      <c r="E11" s="76">
        <v>1115735.7</v>
      </c>
      <c r="F11" s="82">
        <v>20.059973031283707</v>
      </c>
      <c r="G11" s="52"/>
      <c r="J11" s="300">
        <f t="shared" si="0"/>
        <v>-0.0661517797179315</v>
      </c>
      <c r="K11" s="300">
        <f t="shared" si="1"/>
        <v>-0.02485146438029318</v>
      </c>
      <c r="L11" s="300">
        <f t="shared" si="1"/>
        <v>0.04422593997680206</v>
      </c>
    </row>
    <row r="12" spans="1:12" ht="12.75">
      <c r="A12" s="2"/>
      <c r="C12" s="25" t="s">
        <v>7</v>
      </c>
      <c r="D12" s="76">
        <v>63200</v>
      </c>
      <c r="E12" s="76">
        <v>1391378.2</v>
      </c>
      <c r="F12" s="82">
        <v>22.015477848101266</v>
      </c>
      <c r="J12" s="300">
        <f t="shared" si="0"/>
        <v>0.1362819129809421</v>
      </c>
      <c r="K12" s="300">
        <f t="shared" si="1"/>
        <v>0.2470499958009769</v>
      </c>
      <c r="L12" s="300">
        <f t="shared" si="1"/>
        <v>0.09748292351978398</v>
      </c>
    </row>
    <row r="13" spans="1:12" ht="12.75">
      <c r="A13" s="2"/>
      <c r="C13" s="25" t="s">
        <v>6</v>
      </c>
      <c r="D13" s="76">
        <v>54145</v>
      </c>
      <c r="E13" s="76">
        <v>834859.9</v>
      </c>
      <c r="F13" s="82">
        <v>15.41896574014221</v>
      </c>
      <c r="J13" s="300">
        <f t="shared" si="0"/>
        <v>-0.1432753164556962</v>
      </c>
      <c r="K13" s="300">
        <f t="shared" si="1"/>
        <v>-0.39997629688319103</v>
      </c>
      <c r="L13" s="300">
        <f t="shared" si="1"/>
        <v>-0.29963065773418923</v>
      </c>
    </row>
    <row r="14" spans="1:12" ht="12.75">
      <c r="A14" s="2"/>
      <c r="C14" s="25" t="s">
        <v>5</v>
      </c>
      <c r="D14" s="76">
        <v>55976</v>
      </c>
      <c r="E14" s="76">
        <v>965939.5</v>
      </c>
      <c r="F14" s="82">
        <v>17.25631520651708</v>
      </c>
      <c r="J14" s="300">
        <f t="shared" si="0"/>
        <v>0.03381660356450272</v>
      </c>
      <c r="K14" s="300">
        <f t="shared" si="1"/>
        <v>0.1570079003674748</v>
      </c>
      <c r="L14" s="300">
        <f t="shared" si="1"/>
        <v>0.11916165437682093</v>
      </c>
    </row>
    <row r="15" spans="1:12" ht="12.75">
      <c r="A15" s="2"/>
      <c r="C15" s="25" t="s">
        <v>4</v>
      </c>
      <c r="D15" s="76">
        <v>45078</v>
      </c>
      <c r="E15" s="76">
        <v>924548.1</v>
      </c>
      <c r="F15" s="82">
        <v>20.50996273126581</v>
      </c>
      <c r="J15" s="300">
        <f t="shared" si="0"/>
        <v>-0.19469058167786193</v>
      </c>
      <c r="K15" s="300">
        <f t="shared" si="1"/>
        <v>-0.04285092389326663</v>
      </c>
      <c r="L15" s="300">
        <f t="shared" si="1"/>
        <v>0.18854822051001624</v>
      </c>
    </row>
    <row r="16" spans="1:12" ht="12.75">
      <c r="A16" s="2"/>
      <c r="C16" s="25" t="s">
        <v>3</v>
      </c>
      <c r="D16" s="76">
        <v>50771</v>
      </c>
      <c r="E16" s="76">
        <v>1081349.2</v>
      </c>
      <c r="F16" s="82">
        <v>21.3</v>
      </c>
      <c r="J16" s="300">
        <f t="shared" si="0"/>
        <v>0.12629220462309773</v>
      </c>
      <c r="K16" s="300">
        <f t="shared" si="1"/>
        <v>0.1695975579853552</v>
      </c>
      <c r="L16" s="300">
        <f t="shared" si="1"/>
        <v>0.03851968329176157</v>
      </c>
    </row>
    <row r="17" spans="1:12" ht="12.75">
      <c r="A17" s="2"/>
      <c r="C17" s="25" t="s">
        <v>2</v>
      </c>
      <c r="D17" s="76">
        <v>53653</v>
      </c>
      <c r="E17" s="76">
        <v>1676444</v>
      </c>
      <c r="F17" s="82">
        <v>31.25</v>
      </c>
      <c r="J17" s="300">
        <f t="shared" si="0"/>
        <v>0.05676468850327943</v>
      </c>
      <c r="K17" s="300">
        <f t="shared" si="1"/>
        <v>0.5503262035982457</v>
      </c>
      <c r="L17" s="300">
        <f t="shared" si="1"/>
        <v>0.46713615023474175</v>
      </c>
    </row>
    <row r="18" spans="1:12" ht="12.75">
      <c r="A18" s="2"/>
      <c r="C18" s="25" t="s">
        <v>119</v>
      </c>
      <c r="D18" s="76">
        <v>41534</v>
      </c>
      <c r="E18" s="76">
        <v>1093452</v>
      </c>
      <c r="F18" s="82">
        <v>26.33</v>
      </c>
      <c r="G18" s="50"/>
      <c r="J18" s="300">
        <f t="shared" si="0"/>
        <v>-0.22587739734963563</v>
      </c>
      <c r="K18" s="300">
        <f t="shared" si="1"/>
        <v>-0.3477551293094192</v>
      </c>
      <c r="L18" s="300">
        <f t="shared" si="1"/>
        <v>-0.15744000000000005</v>
      </c>
    </row>
    <row r="19" spans="1:12" ht="12.75">
      <c r="A19" s="2"/>
      <c r="C19" s="25" t="s">
        <v>128</v>
      </c>
      <c r="D19" s="76">
        <v>49576</v>
      </c>
      <c r="E19" s="76">
        <v>1159022.1</v>
      </c>
      <c r="F19" s="82">
        <v>23.3786933193481</v>
      </c>
      <c r="G19" s="50"/>
      <c r="J19" s="300">
        <f t="shared" si="0"/>
        <v>0.19362450040930324</v>
      </c>
      <c r="K19" s="300">
        <f t="shared" si="1"/>
        <v>0.059966143918526</v>
      </c>
      <c r="L19" s="300">
        <f t="shared" si="1"/>
        <v>-0.1120891257368743</v>
      </c>
    </row>
    <row r="20" spans="1:12" ht="12.75" customHeight="1">
      <c r="A20" s="2"/>
      <c r="C20" s="25" t="s">
        <v>142</v>
      </c>
      <c r="D20" s="76">
        <v>48965</v>
      </c>
      <c r="E20" s="76">
        <f>+D20*F20</f>
        <v>1061324.9400000002</v>
      </c>
      <c r="F20" s="82">
        <v>21.675174920861842</v>
      </c>
      <c r="H20" s="222"/>
      <c r="J20" s="300">
        <f t="shared" si="0"/>
        <v>-0.0123245118605777</v>
      </c>
      <c r="K20" s="300">
        <f t="shared" si="1"/>
        <v>-0.0842927498966585</v>
      </c>
      <c r="L20" s="300">
        <f t="shared" si="1"/>
        <v>-0.07286627936029394</v>
      </c>
    </row>
    <row r="21" spans="1:12" ht="12.75">
      <c r="A21" s="2"/>
      <c r="C21" s="25" t="s">
        <v>171</v>
      </c>
      <c r="D21" s="76">
        <v>50526.3379674093</v>
      </c>
      <c r="E21" s="76">
        <v>960502</v>
      </c>
      <c r="F21" s="82">
        <v>19.01</v>
      </c>
      <c r="G21" s="129"/>
      <c r="I21" s="153"/>
      <c r="J21" s="300">
        <f t="shared" si="0"/>
        <v>0.03188681644867357</v>
      </c>
      <c r="K21" s="300">
        <f t="shared" si="1"/>
        <v>-0.09499723995932872</v>
      </c>
      <c r="L21" s="300">
        <f t="shared" si="1"/>
        <v>-0.12295978835661772</v>
      </c>
    </row>
    <row r="22" spans="1:12" ht="12.75" customHeight="1">
      <c r="A22" s="2"/>
      <c r="C22" s="25" t="s">
        <v>189</v>
      </c>
      <c r="D22" s="76">
        <v>53485</v>
      </c>
      <c r="E22" s="76">
        <v>1166024.9</v>
      </c>
      <c r="F22" s="82">
        <v>21.8</v>
      </c>
      <c r="G22" s="129"/>
      <c r="J22" s="300">
        <f t="shared" si="0"/>
        <v>0.058556827025522944</v>
      </c>
      <c r="K22" s="300">
        <f t="shared" si="1"/>
        <v>0.21397446335353795</v>
      </c>
      <c r="L22" s="300">
        <f t="shared" si="1"/>
        <v>0.14676486059968433</v>
      </c>
    </row>
    <row r="23" spans="1:12" ht="12.75" customHeight="1">
      <c r="A23" s="2"/>
      <c r="C23" s="203" t="s">
        <v>249</v>
      </c>
      <c r="D23" s="76">
        <v>54082</v>
      </c>
      <c r="E23" s="76">
        <f>+D23*F23</f>
        <v>1426478.7500000002</v>
      </c>
      <c r="F23" s="82">
        <v>26.376220369069195</v>
      </c>
      <c r="G23" s="215"/>
      <c r="J23" s="300">
        <f aca="true" t="shared" si="2" ref="J23:L24">+(D23-D22)/D22</f>
        <v>0.011162008039637282</v>
      </c>
      <c r="K23" s="300">
        <f t="shared" si="2"/>
        <v>0.2233690292548644</v>
      </c>
      <c r="L23" s="300">
        <f t="shared" si="2"/>
        <v>0.20991836555363275</v>
      </c>
    </row>
    <row r="24" spans="1:12" ht="12.75" customHeight="1">
      <c r="A24" s="2"/>
      <c r="C24" s="203" t="s">
        <v>266</v>
      </c>
      <c r="D24" s="76">
        <v>47250</v>
      </c>
      <c r="E24" s="202">
        <f>+D24*F24</f>
        <v>1138163.2062192599</v>
      </c>
      <c r="F24" s="201">
        <f>+AVERAGE(F22:F23)</f>
        <v>24.0881101845346</v>
      </c>
      <c r="G24" s="215"/>
      <c r="J24" s="300">
        <f t="shared" si="2"/>
        <v>-0.1263266891017344</v>
      </c>
      <c r="K24" s="300">
        <f t="shared" si="2"/>
        <v>-0.20211695672349855</v>
      </c>
      <c r="L24" s="300">
        <f t="shared" si="2"/>
        <v>-0.08674897891048147</v>
      </c>
    </row>
    <row r="25" spans="1:7" ht="12.75">
      <c r="A25" s="2"/>
      <c r="B25" s="130"/>
      <c r="C25" s="136" t="s">
        <v>131</v>
      </c>
      <c r="D25" s="135"/>
      <c r="E25" s="135"/>
      <c r="F25" s="135"/>
      <c r="G25" s="130"/>
    </row>
    <row r="26" spans="1:7" ht="50.25" customHeight="1">
      <c r="A26" s="2"/>
      <c r="B26" s="130"/>
      <c r="C26" s="366" t="s">
        <v>273</v>
      </c>
      <c r="D26" s="366"/>
      <c r="E26" s="366"/>
      <c r="F26" s="366"/>
      <c r="G26" s="130"/>
    </row>
    <row r="27" spans="1:8" ht="12.75">
      <c r="A27" s="2"/>
      <c r="C27" s="290"/>
      <c r="D27" s="290"/>
      <c r="E27" s="290"/>
      <c r="F27" s="290"/>
      <c r="G27" s="290"/>
      <c r="H27" s="290"/>
    </row>
    <row r="28" ht="12.75">
      <c r="G28" s="51"/>
    </row>
    <row r="34" ht="15">
      <c r="K34" s="320"/>
    </row>
    <row r="38" ht="12.75">
      <c r="I38" s="200"/>
    </row>
    <row r="46" spans="8:9" ht="12.75">
      <c r="H46" s="51"/>
      <c r="I46" s="143"/>
    </row>
    <row r="51" ht="12.75">
      <c r="B51" s="26" t="s">
        <v>131</v>
      </c>
    </row>
  </sheetData>
  <sheetProtection/>
  <mergeCells count="7">
    <mergeCell ref="C26:F26"/>
    <mergeCell ref="C2:F2"/>
    <mergeCell ref="C3:F3"/>
    <mergeCell ref="C5:C6"/>
    <mergeCell ref="D5:D6"/>
    <mergeCell ref="E5:E6"/>
    <mergeCell ref="F5:F6"/>
  </mergeCells>
  <hyperlinks>
    <hyperlink ref="H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22" scale="71"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B2:Y53"/>
  <sheetViews>
    <sheetView zoomScale="80" zoomScaleNormal="80" zoomScalePageLayoutView="80" workbookViewId="0" topLeftCell="A1">
      <selection activeCell="A1" sqref="A1"/>
    </sheetView>
  </sheetViews>
  <sheetFormatPr defaultColWidth="15.8515625" defaultRowHeight="15"/>
  <cols>
    <col min="1" max="1" width="1.421875" style="20" customWidth="1"/>
    <col min="2" max="2" width="9.421875" style="20" customWidth="1"/>
    <col min="3" max="3" width="11.8515625" style="20" customWidth="1"/>
    <col min="4" max="4" width="12.421875" style="20" customWidth="1"/>
    <col min="5" max="5" width="14.8515625" style="20" customWidth="1"/>
    <col min="6" max="6" width="11.421875" style="20" customWidth="1"/>
    <col min="7" max="7" width="11.8515625" style="20" customWidth="1"/>
    <col min="8" max="8" width="11.7109375" style="20" customWidth="1"/>
    <col min="9" max="9" width="14.421875" style="20" customWidth="1"/>
    <col min="10" max="10" width="11.28125" style="20" customWidth="1"/>
    <col min="11" max="11" width="12.140625" style="20" customWidth="1"/>
    <col min="12" max="12" width="10.421875" style="20" customWidth="1"/>
    <col min="13" max="13" width="2.00390625" style="20" customWidth="1"/>
    <col min="14" max="14" width="14.00390625" style="20" customWidth="1"/>
    <col min="15" max="15" width="6.8515625" style="142" customWidth="1"/>
    <col min="16" max="16" width="9.421875" style="134" hidden="1" customWidth="1"/>
    <col min="17" max="17" width="10.421875" style="134" hidden="1" customWidth="1"/>
    <col min="18" max="18" width="12.7109375" style="134" hidden="1" customWidth="1"/>
    <col min="19" max="19" width="9.421875" style="134" hidden="1" customWidth="1"/>
    <col min="20" max="20" width="7.8515625" style="134" hidden="1" customWidth="1"/>
    <col min="21" max="21" width="7.421875" style="134" hidden="1" customWidth="1"/>
    <col min="22" max="22" width="12.8515625" style="134" hidden="1" customWidth="1"/>
    <col min="23" max="23" width="8.7109375" style="134" hidden="1" customWidth="1"/>
    <col min="24" max="24" width="10.28125" style="134" hidden="1" customWidth="1"/>
    <col min="25" max="26" width="15.8515625" style="142" customWidth="1"/>
    <col min="27" max="16384" width="15.8515625" style="20" customWidth="1"/>
  </cols>
  <sheetData>
    <row r="1" ht="6" customHeight="1"/>
    <row r="2" spans="2:14" ht="12.75">
      <c r="B2" s="353" t="s">
        <v>105</v>
      </c>
      <c r="C2" s="353"/>
      <c r="D2" s="353"/>
      <c r="E2" s="353"/>
      <c r="F2" s="353"/>
      <c r="G2" s="353"/>
      <c r="H2" s="353"/>
      <c r="I2" s="353"/>
      <c r="J2" s="353"/>
      <c r="K2" s="353"/>
      <c r="L2" s="353"/>
      <c r="M2" s="225"/>
      <c r="N2" s="44" t="s">
        <v>147</v>
      </c>
    </row>
    <row r="3" spans="2:13" ht="12.75" customHeight="1">
      <c r="B3" s="353" t="s">
        <v>49</v>
      </c>
      <c r="C3" s="353"/>
      <c r="D3" s="353"/>
      <c r="E3" s="353"/>
      <c r="F3" s="353"/>
      <c r="G3" s="353"/>
      <c r="H3" s="353"/>
      <c r="I3" s="353"/>
      <c r="J3" s="353"/>
      <c r="K3" s="353"/>
      <c r="L3" s="353"/>
      <c r="M3" s="225"/>
    </row>
    <row r="4" spans="2:13" ht="12.75">
      <c r="B4" s="353" t="s">
        <v>27</v>
      </c>
      <c r="C4" s="353"/>
      <c r="D4" s="353"/>
      <c r="E4" s="353"/>
      <c r="F4" s="353"/>
      <c r="G4" s="353"/>
      <c r="H4" s="353"/>
      <c r="I4" s="353"/>
      <c r="J4" s="353"/>
      <c r="K4" s="353"/>
      <c r="L4" s="353"/>
      <c r="M4" s="225"/>
    </row>
    <row r="5" spans="2:11" ht="12.75">
      <c r="B5" s="2"/>
      <c r="C5" s="2"/>
      <c r="D5" s="2"/>
      <c r="E5" s="2"/>
      <c r="F5" s="2"/>
      <c r="G5" s="2"/>
      <c r="H5" s="2"/>
      <c r="I5" s="2"/>
      <c r="J5" s="48"/>
      <c r="K5" s="2"/>
    </row>
    <row r="6" spans="2:16" ht="12.75">
      <c r="B6" s="372" t="s">
        <v>13</v>
      </c>
      <c r="C6" s="238" t="s">
        <v>24</v>
      </c>
      <c r="D6" s="238" t="s">
        <v>24</v>
      </c>
      <c r="E6" s="238" t="s">
        <v>26</v>
      </c>
      <c r="F6" s="238" t="s">
        <v>24</v>
      </c>
      <c r="G6" s="238" t="s">
        <v>25</v>
      </c>
      <c r="H6" s="238" t="s">
        <v>25</v>
      </c>
      <c r="I6" s="238" t="s">
        <v>24</v>
      </c>
      <c r="J6" s="238" t="s">
        <v>24</v>
      </c>
      <c r="K6" s="238" t="s">
        <v>24</v>
      </c>
      <c r="L6" s="238" t="s">
        <v>151</v>
      </c>
      <c r="M6" s="1"/>
      <c r="P6" s="134" t="s">
        <v>250</v>
      </c>
    </row>
    <row r="7" spans="2:24" ht="12.75">
      <c r="B7" s="373"/>
      <c r="C7" s="239" t="s">
        <v>23</v>
      </c>
      <c r="D7" s="239" t="s">
        <v>22</v>
      </c>
      <c r="E7" s="239" t="s">
        <v>21</v>
      </c>
      <c r="F7" s="239" t="s">
        <v>20</v>
      </c>
      <c r="G7" s="239" t="s">
        <v>19</v>
      </c>
      <c r="H7" s="239" t="s">
        <v>18</v>
      </c>
      <c r="I7" s="239" t="s">
        <v>17</v>
      </c>
      <c r="J7" s="239" t="s">
        <v>16</v>
      </c>
      <c r="K7" s="239" t="s">
        <v>15</v>
      </c>
      <c r="L7" s="239" t="s">
        <v>152</v>
      </c>
      <c r="M7" s="1"/>
      <c r="P7" s="301" t="str">
        <f>+C7</f>
        <v>Coquimbo</v>
      </c>
      <c r="Q7" s="301" t="str">
        <f aca="true" t="shared" si="0" ref="Q7:V7">+D7</f>
        <v>Valparaíso</v>
      </c>
      <c r="R7" s="301" t="str">
        <f t="shared" si="0"/>
        <v>Metropolitana</v>
      </c>
      <c r="S7" s="301" t="str">
        <f t="shared" si="0"/>
        <v>O´Higgins</v>
      </c>
      <c r="T7" s="301" t="str">
        <f t="shared" si="0"/>
        <v>Maule</v>
      </c>
      <c r="U7" s="301" t="str">
        <f t="shared" si="0"/>
        <v>Bío Bío</v>
      </c>
      <c r="V7" s="301" t="str">
        <f t="shared" si="0"/>
        <v>La Araucanía</v>
      </c>
      <c r="W7" s="301" t="str">
        <f>+J7</f>
        <v>Los Ríos</v>
      </c>
      <c r="X7" s="301" t="str">
        <f>+K7</f>
        <v>Los Lagos</v>
      </c>
    </row>
    <row r="8" spans="2:13" ht="12.75">
      <c r="B8" s="64" t="s">
        <v>11</v>
      </c>
      <c r="C8" s="63">
        <v>5960</v>
      </c>
      <c r="D8" s="63">
        <v>1480</v>
      </c>
      <c r="E8" s="63">
        <v>4280</v>
      </c>
      <c r="F8" s="63">
        <v>2960</v>
      </c>
      <c r="G8" s="63">
        <v>4170</v>
      </c>
      <c r="H8" s="63">
        <v>5240</v>
      </c>
      <c r="I8" s="63">
        <v>18030</v>
      </c>
      <c r="J8" s="64"/>
      <c r="K8" s="63">
        <v>17930</v>
      </c>
      <c r="L8" s="63"/>
      <c r="M8" s="63"/>
    </row>
    <row r="9" spans="2:24" ht="12.75">
      <c r="B9" s="64" t="s">
        <v>10</v>
      </c>
      <c r="C9" s="63">
        <v>5420</v>
      </c>
      <c r="D9" s="63">
        <v>1190</v>
      </c>
      <c r="E9" s="63">
        <v>4090</v>
      </c>
      <c r="F9" s="63">
        <v>3140</v>
      </c>
      <c r="G9" s="63">
        <v>3850</v>
      </c>
      <c r="H9" s="63">
        <v>5690</v>
      </c>
      <c r="I9" s="63">
        <v>15000</v>
      </c>
      <c r="J9" s="64"/>
      <c r="K9" s="63">
        <v>16310</v>
      </c>
      <c r="L9" s="63"/>
      <c r="M9" s="63"/>
      <c r="P9" s="300">
        <f aca="true" t="shared" si="1" ref="P9:P21">+C9/C8-1</f>
        <v>-0.09060402684563762</v>
      </c>
      <c r="Q9" s="300">
        <f aca="true" t="shared" si="2" ref="Q9:Q21">+D9/D8-1</f>
        <v>-0.19594594594594594</v>
      </c>
      <c r="R9" s="300">
        <f aca="true" t="shared" si="3" ref="R9:R21">+E9/E8-1</f>
        <v>-0.04439252336448596</v>
      </c>
      <c r="S9" s="300">
        <f aca="true" t="shared" si="4" ref="S9:S21">+F9/F8-1</f>
        <v>0.060810810810810745</v>
      </c>
      <c r="T9" s="300">
        <f aca="true" t="shared" si="5" ref="T9:T21">+G9/G8-1</f>
        <v>-0.0767386091127098</v>
      </c>
      <c r="U9" s="300">
        <f aca="true" t="shared" si="6" ref="U9:U21">+H9/H8-1</f>
        <v>0.08587786259541974</v>
      </c>
      <c r="V9" s="300">
        <f aca="true" t="shared" si="7" ref="V9:V21">+I9/I8-1</f>
        <v>-0.16805324459234605</v>
      </c>
      <c r="W9" s="300" t="e">
        <f aca="true" t="shared" si="8" ref="W9:W21">+J9/J8-1</f>
        <v>#DIV/0!</v>
      </c>
      <c r="X9" s="300">
        <f aca="true" t="shared" si="9" ref="X9:X21">+K9/K8-1</f>
        <v>-0.09035136642498609</v>
      </c>
    </row>
    <row r="10" spans="2:24" ht="12.75">
      <c r="B10" s="64" t="s">
        <v>9</v>
      </c>
      <c r="C10" s="63">
        <v>5400</v>
      </c>
      <c r="D10" s="63">
        <v>1200</v>
      </c>
      <c r="E10" s="63">
        <v>4000</v>
      </c>
      <c r="F10" s="63">
        <v>3450</v>
      </c>
      <c r="G10" s="63">
        <v>3800</v>
      </c>
      <c r="H10" s="63">
        <v>6400</v>
      </c>
      <c r="I10" s="63">
        <v>16800</v>
      </c>
      <c r="J10" s="64"/>
      <c r="K10" s="63">
        <v>17200</v>
      </c>
      <c r="L10" s="63"/>
      <c r="M10" s="63"/>
      <c r="N10" s="49"/>
      <c r="P10" s="300">
        <f t="shared" si="1"/>
        <v>-0.0036900369003689537</v>
      </c>
      <c r="Q10" s="300">
        <f t="shared" si="2"/>
        <v>0.008403361344537785</v>
      </c>
      <c r="R10" s="300">
        <f t="shared" si="3"/>
        <v>-0.022004889975550168</v>
      </c>
      <c r="S10" s="300">
        <f t="shared" si="4"/>
        <v>0.09872611464968162</v>
      </c>
      <c r="T10" s="300">
        <f t="shared" si="5"/>
        <v>-0.012987012987012991</v>
      </c>
      <c r="U10" s="300">
        <f t="shared" si="6"/>
        <v>0.12478031634446407</v>
      </c>
      <c r="V10" s="300">
        <f t="shared" si="7"/>
        <v>0.1200000000000001</v>
      </c>
      <c r="W10" s="300" t="e">
        <f t="shared" si="8"/>
        <v>#DIV/0!</v>
      </c>
      <c r="X10" s="300">
        <f t="shared" si="9"/>
        <v>0.05456774984671986</v>
      </c>
    </row>
    <row r="11" spans="2:24" ht="12.75">
      <c r="B11" s="64" t="s">
        <v>8</v>
      </c>
      <c r="C11" s="63">
        <v>4960</v>
      </c>
      <c r="D11" s="63">
        <v>1550</v>
      </c>
      <c r="E11" s="63">
        <v>3260</v>
      </c>
      <c r="F11" s="63">
        <v>2820</v>
      </c>
      <c r="G11" s="63">
        <v>2800</v>
      </c>
      <c r="H11" s="63">
        <v>6290</v>
      </c>
      <c r="I11" s="63">
        <v>15620</v>
      </c>
      <c r="J11" s="64"/>
      <c r="K11" s="63">
        <v>17010</v>
      </c>
      <c r="L11" s="63"/>
      <c r="M11" s="63"/>
      <c r="N11" s="49"/>
      <c r="P11" s="300">
        <f t="shared" si="1"/>
        <v>-0.08148148148148149</v>
      </c>
      <c r="Q11" s="300">
        <f t="shared" si="2"/>
        <v>0.29166666666666674</v>
      </c>
      <c r="R11" s="300">
        <f t="shared" si="3"/>
        <v>-0.18500000000000005</v>
      </c>
      <c r="S11" s="300">
        <f t="shared" si="4"/>
        <v>-0.18260869565217386</v>
      </c>
      <c r="T11" s="300">
        <f t="shared" si="5"/>
        <v>-0.26315789473684215</v>
      </c>
      <c r="U11" s="300">
        <f t="shared" si="6"/>
        <v>-0.017187500000000022</v>
      </c>
      <c r="V11" s="300">
        <f t="shared" si="7"/>
        <v>-0.07023809523809521</v>
      </c>
      <c r="W11" s="300" t="e">
        <f t="shared" si="8"/>
        <v>#DIV/0!</v>
      </c>
      <c r="X11" s="300">
        <f t="shared" si="9"/>
        <v>-0.01104651162790693</v>
      </c>
    </row>
    <row r="12" spans="2:24" ht="12.75">
      <c r="B12" s="64" t="s">
        <v>7</v>
      </c>
      <c r="C12" s="63">
        <v>5590</v>
      </c>
      <c r="D12" s="63">
        <v>1870</v>
      </c>
      <c r="E12" s="63">
        <v>4000</v>
      </c>
      <c r="F12" s="63">
        <v>3410</v>
      </c>
      <c r="G12" s="63">
        <v>3740</v>
      </c>
      <c r="H12" s="63">
        <v>6600</v>
      </c>
      <c r="I12" s="63">
        <v>17980</v>
      </c>
      <c r="J12" s="64"/>
      <c r="K12" s="63">
        <v>18700</v>
      </c>
      <c r="L12" s="63"/>
      <c r="M12" s="63"/>
      <c r="N12" s="49"/>
      <c r="P12" s="300">
        <f t="shared" si="1"/>
        <v>0.127016129032258</v>
      </c>
      <c r="Q12" s="300">
        <f t="shared" si="2"/>
        <v>0.2064516129032259</v>
      </c>
      <c r="R12" s="300">
        <f t="shared" si="3"/>
        <v>0.22699386503067487</v>
      </c>
      <c r="S12" s="300">
        <f t="shared" si="4"/>
        <v>0.20921985815602828</v>
      </c>
      <c r="T12" s="300">
        <f t="shared" si="5"/>
        <v>0.33571428571428563</v>
      </c>
      <c r="U12" s="300">
        <f t="shared" si="6"/>
        <v>0.049284578696343395</v>
      </c>
      <c r="V12" s="300">
        <f t="shared" si="7"/>
        <v>0.1510883482714469</v>
      </c>
      <c r="W12" s="300" t="e">
        <f t="shared" si="8"/>
        <v>#DIV/0!</v>
      </c>
      <c r="X12" s="300">
        <f t="shared" si="9"/>
        <v>0.09935332157554377</v>
      </c>
    </row>
    <row r="13" spans="2:24" ht="12.75">
      <c r="B13" s="64" t="s">
        <v>6</v>
      </c>
      <c r="C13" s="65">
        <v>3236.8</v>
      </c>
      <c r="D13" s="65">
        <v>2184.18</v>
      </c>
      <c r="E13" s="65">
        <v>5236.7</v>
      </c>
      <c r="F13" s="65">
        <v>1711.1</v>
      </c>
      <c r="G13" s="65">
        <v>3368.74</v>
      </c>
      <c r="H13" s="65">
        <v>8440.58</v>
      </c>
      <c r="I13" s="65">
        <v>14058.9</v>
      </c>
      <c r="J13" s="65">
        <v>3971.3</v>
      </c>
      <c r="K13" s="65">
        <v>11228.6</v>
      </c>
      <c r="L13" s="65"/>
      <c r="M13" s="65"/>
      <c r="N13" s="49"/>
      <c r="P13" s="300">
        <f t="shared" si="1"/>
        <v>-0.4209660107334525</v>
      </c>
      <c r="Q13" s="300">
        <f t="shared" si="2"/>
        <v>0.1680106951871656</v>
      </c>
      <c r="R13" s="300">
        <f t="shared" si="3"/>
        <v>0.309175</v>
      </c>
      <c r="S13" s="300">
        <f t="shared" si="4"/>
        <v>-0.49821114369501474</v>
      </c>
      <c r="T13" s="300">
        <f t="shared" si="5"/>
        <v>-0.09926737967914445</v>
      </c>
      <c r="U13" s="300">
        <f t="shared" si="6"/>
        <v>0.27887575757575767</v>
      </c>
      <c r="V13" s="300">
        <f t="shared" si="7"/>
        <v>-0.21808120133481645</v>
      </c>
      <c r="W13" s="300" t="e">
        <f t="shared" si="8"/>
        <v>#DIV/0!</v>
      </c>
      <c r="X13" s="300">
        <f t="shared" si="9"/>
        <v>-0.3995401069518716</v>
      </c>
    </row>
    <row r="14" spans="2:24" ht="12.75">
      <c r="B14" s="64" t="s">
        <v>5</v>
      </c>
      <c r="C14" s="63">
        <v>3520</v>
      </c>
      <c r="D14" s="63">
        <v>2040</v>
      </c>
      <c r="E14" s="63">
        <v>5610</v>
      </c>
      <c r="F14" s="63">
        <v>1570</v>
      </c>
      <c r="G14" s="63">
        <v>3430</v>
      </c>
      <c r="H14" s="63">
        <v>8100</v>
      </c>
      <c r="I14" s="63">
        <v>14800</v>
      </c>
      <c r="J14" s="63">
        <v>4240</v>
      </c>
      <c r="K14" s="63">
        <v>11960</v>
      </c>
      <c r="L14" s="63"/>
      <c r="M14" s="63"/>
      <c r="P14" s="300">
        <f t="shared" si="1"/>
        <v>0.08749382105783488</v>
      </c>
      <c r="Q14" s="300">
        <f t="shared" si="2"/>
        <v>-0.06601104304590277</v>
      </c>
      <c r="R14" s="300">
        <f t="shared" si="3"/>
        <v>0.0712853514617986</v>
      </c>
      <c r="S14" s="300">
        <f t="shared" si="4"/>
        <v>-0.08246157442580793</v>
      </c>
      <c r="T14" s="300">
        <f t="shared" si="5"/>
        <v>0.018184840622903486</v>
      </c>
      <c r="U14" s="300">
        <f t="shared" si="6"/>
        <v>-0.04035030768027792</v>
      </c>
      <c r="V14" s="300">
        <f t="shared" si="7"/>
        <v>0.05271393921288303</v>
      </c>
      <c r="W14" s="300">
        <f t="shared" si="8"/>
        <v>0.06766046382796564</v>
      </c>
      <c r="X14" s="300">
        <f t="shared" si="9"/>
        <v>0.06513723883654232</v>
      </c>
    </row>
    <row r="15" spans="2:24" ht="12.75">
      <c r="B15" s="64" t="s">
        <v>4</v>
      </c>
      <c r="C15" s="63">
        <v>2996</v>
      </c>
      <c r="D15" s="63">
        <v>606</v>
      </c>
      <c r="E15" s="63">
        <v>2760</v>
      </c>
      <c r="F15" s="63">
        <v>259</v>
      </c>
      <c r="G15" s="63">
        <v>2183</v>
      </c>
      <c r="H15" s="63">
        <v>7025</v>
      </c>
      <c r="I15" s="63">
        <v>13473</v>
      </c>
      <c r="J15" s="63">
        <v>4567</v>
      </c>
      <c r="K15" s="63">
        <v>10522</v>
      </c>
      <c r="L15" s="63"/>
      <c r="M15" s="63"/>
      <c r="P15" s="300">
        <f t="shared" si="1"/>
        <v>-0.1488636363636363</v>
      </c>
      <c r="Q15" s="300">
        <f t="shared" si="2"/>
        <v>-0.7029411764705882</v>
      </c>
      <c r="R15" s="300">
        <f t="shared" si="3"/>
        <v>-0.5080213903743316</v>
      </c>
      <c r="S15" s="300">
        <f t="shared" si="4"/>
        <v>-0.835031847133758</v>
      </c>
      <c r="T15" s="300">
        <f t="shared" si="5"/>
        <v>-0.36355685131195337</v>
      </c>
      <c r="U15" s="300">
        <f t="shared" si="6"/>
        <v>-0.13271604938271608</v>
      </c>
      <c r="V15" s="300">
        <f t="shared" si="7"/>
        <v>-0.08966216216216216</v>
      </c>
      <c r="W15" s="300">
        <f t="shared" si="8"/>
        <v>0.07712264150943393</v>
      </c>
      <c r="X15" s="300">
        <f t="shared" si="9"/>
        <v>-0.12023411371237458</v>
      </c>
    </row>
    <row r="16" spans="2:24" ht="12.75">
      <c r="B16" s="64" t="s">
        <v>3</v>
      </c>
      <c r="C16" s="63">
        <v>3421</v>
      </c>
      <c r="D16" s="63">
        <v>447</v>
      </c>
      <c r="E16" s="63">
        <v>3493</v>
      </c>
      <c r="F16" s="63">
        <v>1981</v>
      </c>
      <c r="G16" s="63">
        <v>4589</v>
      </c>
      <c r="H16" s="63">
        <v>8958</v>
      </c>
      <c r="I16" s="63">
        <v>16756</v>
      </c>
      <c r="J16" s="63">
        <v>3767</v>
      </c>
      <c r="K16" s="63">
        <v>6672</v>
      </c>
      <c r="L16" s="63"/>
      <c r="M16" s="63"/>
      <c r="N16" s="49"/>
      <c r="P16" s="300">
        <f t="shared" si="1"/>
        <v>0.14185580774365825</v>
      </c>
      <c r="Q16" s="300">
        <f t="shared" si="2"/>
        <v>-0.2623762376237624</v>
      </c>
      <c r="R16" s="300">
        <f t="shared" si="3"/>
        <v>0.26557971014492754</v>
      </c>
      <c r="S16" s="300">
        <f t="shared" si="4"/>
        <v>6.648648648648648</v>
      </c>
      <c r="T16" s="300">
        <f t="shared" si="5"/>
        <v>1.102153000458085</v>
      </c>
      <c r="U16" s="300">
        <f t="shared" si="6"/>
        <v>0.2751601423487544</v>
      </c>
      <c r="V16" s="300">
        <f t="shared" si="7"/>
        <v>0.2436725302456766</v>
      </c>
      <c r="W16" s="300">
        <f t="shared" si="8"/>
        <v>-0.17516969564265383</v>
      </c>
      <c r="X16" s="300">
        <f t="shared" si="9"/>
        <v>-0.36590001900779323</v>
      </c>
    </row>
    <row r="17" spans="2:24" ht="12.75">
      <c r="B17" s="64" t="s">
        <v>2</v>
      </c>
      <c r="C17" s="63">
        <v>3208</v>
      </c>
      <c r="D17" s="63">
        <v>1493</v>
      </c>
      <c r="E17" s="63">
        <v>3750</v>
      </c>
      <c r="F17" s="63">
        <v>887</v>
      </c>
      <c r="G17" s="63">
        <v>4584</v>
      </c>
      <c r="H17" s="63">
        <v>9385</v>
      </c>
      <c r="I17" s="63">
        <v>17757</v>
      </c>
      <c r="J17" s="63">
        <v>3839</v>
      </c>
      <c r="K17" s="63">
        <v>8063</v>
      </c>
      <c r="L17" s="63"/>
      <c r="M17" s="63"/>
      <c r="N17" s="49"/>
      <c r="P17" s="300">
        <f t="shared" si="1"/>
        <v>-0.062262496346097596</v>
      </c>
      <c r="Q17" s="300">
        <f t="shared" si="2"/>
        <v>2.3400447427293063</v>
      </c>
      <c r="R17" s="300">
        <f t="shared" si="3"/>
        <v>0.07357572287432013</v>
      </c>
      <c r="S17" s="300">
        <f t="shared" si="4"/>
        <v>-0.552246340232206</v>
      </c>
      <c r="T17" s="300">
        <f t="shared" si="5"/>
        <v>-0.0010895619960775704</v>
      </c>
      <c r="U17" s="300">
        <f t="shared" si="6"/>
        <v>0.04766688993078816</v>
      </c>
      <c r="V17" s="300">
        <f t="shared" si="7"/>
        <v>0.05973979470040591</v>
      </c>
      <c r="W17" s="300">
        <f t="shared" si="8"/>
        <v>0.019113352800637085</v>
      </c>
      <c r="X17" s="300">
        <f t="shared" si="9"/>
        <v>0.2084832134292567</v>
      </c>
    </row>
    <row r="18" spans="2:25" ht="12.75">
      <c r="B18" s="64" t="s">
        <v>119</v>
      </c>
      <c r="C18" s="63">
        <v>1865</v>
      </c>
      <c r="D18" s="63">
        <v>1421</v>
      </c>
      <c r="E18" s="63">
        <v>3607</v>
      </c>
      <c r="F18" s="63">
        <v>1681</v>
      </c>
      <c r="G18" s="63">
        <v>2080</v>
      </c>
      <c r="H18" s="63">
        <v>5998</v>
      </c>
      <c r="I18" s="63">
        <v>10383</v>
      </c>
      <c r="J18" s="63">
        <v>3393</v>
      </c>
      <c r="K18" s="63">
        <v>10419</v>
      </c>
      <c r="L18" s="63">
        <v>687</v>
      </c>
      <c r="M18" s="63"/>
      <c r="N18" s="49"/>
      <c r="P18" s="300">
        <f t="shared" si="1"/>
        <v>-0.418640897755611</v>
      </c>
      <c r="Q18" s="300">
        <f t="shared" si="2"/>
        <v>-0.04822505023442736</v>
      </c>
      <c r="R18" s="300">
        <f t="shared" si="3"/>
        <v>-0.03813333333333335</v>
      </c>
      <c r="S18" s="300">
        <f t="shared" si="4"/>
        <v>0.895152198421646</v>
      </c>
      <c r="T18" s="300">
        <f t="shared" si="5"/>
        <v>-0.5462478184991274</v>
      </c>
      <c r="U18" s="300">
        <f t="shared" si="6"/>
        <v>-0.36089504528502925</v>
      </c>
      <c r="V18" s="300">
        <f t="shared" si="7"/>
        <v>-0.4152728501436054</v>
      </c>
      <c r="W18" s="300">
        <f t="shared" si="8"/>
        <v>-0.1161760875227924</v>
      </c>
      <c r="X18" s="300">
        <f t="shared" si="9"/>
        <v>0.292198933399479</v>
      </c>
      <c r="Y18" s="140"/>
    </row>
    <row r="19" spans="2:24" ht="12.75">
      <c r="B19" s="64" t="s">
        <v>128</v>
      </c>
      <c r="C19" s="63">
        <v>2546</v>
      </c>
      <c r="D19" s="63">
        <v>1103</v>
      </c>
      <c r="E19" s="63">
        <v>5104</v>
      </c>
      <c r="F19" s="63">
        <v>942</v>
      </c>
      <c r="G19" s="63">
        <v>3017</v>
      </c>
      <c r="H19" s="63">
        <v>8372</v>
      </c>
      <c r="I19" s="63">
        <v>14459</v>
      </c>
      <c r="J19" s="63">
        <v>3334</v>
      </c>
      <c r="K19" s="63">
        <v>10012</v>
      </c>
      <c r="L19" s="63">
        <v>687</v>
      </c>
      <c r="M19" s="63"/>
      <c r="N19" s="49"/>
      <c r="P19" s="300">
        <f t="shared" si="1"/>
        <v>0.36514745308311003</v>
      </c>
      <c r="Q19" s="300">
        <f t="shared" si="2"/>
        <v>-0.22378606615059815</v>
      </c>
      <c r="R19" s="300">
        <f t="shared" si="3"/>
        <v>0.4150263376767396</v>
      </c>
      <c r="S19" s="300">
        <f t="shared" si="4"/>
        <v>-0.4396192742415229</v>
      </c>
      <c r="T19" s="300">
        <f t="shared" si="5"/>
        <v>0.4504807692307693</v>
      </c>
      <c r="U19" s="300">
        <f t="shared" si="6"/>
        <v>0.39579859953317764</v>
      </c>
      <c r="V19" s="300">
        <f t="shared" si="7"/>
        <v>0.39256476933448914</v>
      </c>
      <c r="W19" s="300">
        <f t="shared" si="8"/>
        <v>-0.01738874152667258</v>
      </c>
      <c r="X19" s="300">
        <f t="shared" si="9"/>
        <v>-0.03906324983203757</v>
      </c>
    </row>
    <row r="20" spans="2:24" ht="12.75">
      <c r="B20" s="64" t="s">
        <v>142</v>
      </c>
      <c r="C20" s="63">
        <v>2197</v>
      </c>
      <c r="D20" s="63">
        <v>1480</v>
      </c>
      <c r="E20" s="63">
        <v>3299</v>
      </c>
      <c r="F20" s="63">
        <v>1394</v>
      </c>
      <c r="G20" s="63">
        <v>3557</v>
      </c>
      <c r="H20" s="63">
        <v>8532</v>
      </c>
      <c r="I20" s="63">
        <v>13054</v>
      </c>
      <c r="J20" s="63">
        <v>4007</v>
      </c>
      <c r="K20" s="63">
        <v>10758</v>
      </c>
      <c r="L20" s="63">
        <v>687</v>
      </c>
      <c r="M20" s="63"/>
      <c r="N20" s="49"/>
      <c r="P20" s="300">
        <f t="shared" si="1"/>
        <v>-0.13707776904948943</v>
      </c>
      <c r="Q20" s="300">
        <f t="shared" si="2"/>
        <v>0.34179510426110604</v>
      </c>
      <c r="R20" s="300">
        <f t="shared" si="3"/>
        <v>-0.3536442006269592</v>
      </c>
      <c r="S20" s="300">
        <f t="shared" si="4"/>
        <v>0.47983014861995743</v>
      </c>
      <c r="T20" s="300">
        <f t="shared" si="5"/>
        <v>0.17898574743122309</v>
      </c>
      <c r="U20" s="300">
        <f t="shared" si="6"/>
        <v>0.019111323459149565</v>
      </c>
      <c r="V20" s="300">
        <f t="shared" si="7"/>
        <v>-0.09717131198561446</v>
      </c>
      <c r="W20" s="300">
        <f t="shared" si="8"/>
        <v>0.20185962807438518</v>
      </c>
      <c r="X20" s="300">
        <f t="shared" si="9"/>
        <v>0.07451058729524562</v>
      </c>
    </row>
    <row r="21" spans="2:24" ht="12.75">
      <c r="B21" s="64" t="s">
        <v>171</v>
      </c>
      <c r="C21" s="63">
        <v>1874.8517657009927</v>
      </c>
      <c r="D21" s="63">
        <v>1451.319986235742</v>
      </c>
      <c r="E21" s="63">
        <v>4939.809486900715</v>
      </c>
      <c r="F21" s="63">
        <v>2047.895051547505</v>
      </c>
      <c r="G21" s="63">
        <v>3593.539657032328</v>
      </c>
      <c r="H21" s="63">
        <v>8685.459966446108</v>
      </c>
      <c r="I21" s="63">
        <v>16788.425585779605</v>
      </c>
      <c r="J21" s="63">
        <v>3490.6066401256444</v>
      </c>
      <c r="K21" s="63">
        <v>6967.429827640695</v>
      </c>
      <c r="L21" s="63">
        <v>687</v>
      </c>
      <c r="M21" s="63"/>
      <c r="N21" s="49"/>
      <c r="P21" s="300">
        <f t="shared" si="1"/>
        <v>-0.14663096690897015</v>
      </c>
      <c r="Q21" s="300">
        <f t="shared" si="2"/>
        <v>-0.01937838767855271</v>
      </c>
      <c r="R21" s="300">
        <f t="shared" si="3"/>
        <v>0.4973657129132205</v>
      </c>
      <c r="S21" s="300">
        <f t="shared" si="4"/>
        <v>0.469078229230635</v>
      </c>
      <c r="T21" s="300">
        <f t="shared" si="5"/>
        <v>0.010272605294441295</v>
      </c>
      <c r="U21" s="300">
        <f t="shared" si="6"/>
        <v>0.017986400192933294</v>
      </c>
      <c r="V21" s="300">
        <f t="shared" si="7"/>
        <v>0.28607519425307215</v>
      </c>
      <c r="W21" s="300">
        <f t="shared" si="8"/>
        <v>-0.1288728125466323</v>
      </c>
      <c r="X21" s="300">
        <f t="shared" si="9"/>
        <v>-0.352348965640389</v>
      </c>
    </row>
    <row r="22" spans="2:24" ht="12.75">
      <c r="B22" s="64" t="s">
        <v>189</v>
      </c>
      <c r="C22" s="63">
        <v>2244</v>
      </c>
      <c r="D22" s="63">
        <v>776</v>
      </c>
      <c r="E22" s="63">
        <v>4449</v>
      </c>
      <c r="F22" s="63">
        <v>2251</v>
      </c>
      <c r="G22" s="63">
        <v>5243</v>
      </c>
      <c r="H22" s="63">
        <v>8946</v>
      </c>
      <c r="I22" s="63">
        <v>14976</v>
      </c>
      <c r="J22" s="63">
        <v>3369</v>
      </c>
      <c r="K22" s="63">
        <v>10544</v>
      </c>
      <c r="L22" s="63">
        <v>687</v>
      </c>
      <c r="M22" s="63"/>
      <c r="N22" s="49"/>
      <c r="P22" s="300">
        <f aca="true" t="shared" si="10" ref="P22:X22">+C22/C21-1</f>
        <v>0.19689462444567485</v>
      </c>
      <c r="Q22" s="300">
        <f t="shared" si="10"/>
        <v>-0.4653143294658989</v>
      </c>
      <c r="R22" s="300">
        <f t="shared" si="10"/>
        <v>-0.0993579789265625</v>
      </c>
      <c r="S22" s="300">
        <f t="shared" si="10"/>
        <v>0.09917742039516009</v>
      </c>
      <c r="T22" s="300">
        <f t="shared" si="10"/>
        <v>0.4590071351347922</v>
      </c>
      <c r="U22" s="300">
        <f t="shared" si="10"/>
        <v>0.0299972637673096</v>
      </c>
      <c r="V22" s="300">
        <f t="shared" si="10"/>
        <v>-0.10795685256601995</v>
      </c>
      <c r="W22" s="300">
        <f t="shared" si="10"/>
        <v>-0.03483825382319994</v>
      </c>
      <c r="X22" s="300">
        <f t="shared" si="10"/>
        <v>0.5133270461039432</v>
      </c>
    </row>
    <row r="23" spans="2:24" ht="12.75">
      <c r="B23" s="64" t="s">
        <v>249</v>
      </c>
      <c r="C23" s="63">
        <v>2193</v>
      </c>
      <c r="D23" s="63">
        <v>1721</v>
      </c>
      <c r="E23" s="63">
        <v>5339</v>
      </c>
      <c r="F23" s="63">
        <v>1195</v>
      </c>
      <c r="G23" s="63">
        <v>4168</v>
      </c>
      <c r="H23" s="63">
        <v>9892</v>
      </c>
      <c r="I23" s="63">
        <v>13886</v>
      </c>
      <c r="J23" s="63">
        <v>3979</v>
      </c>
      <c r="K23" s="63">
        <v>11022</v>
      </c>
      <c r="L23" s="63">
        <f>+'sup, prod y rend'!D23-SUM('sup región'!C23:K23)</f>
        <v>687</v>
      </c>
      <c r="M23" s="63"/>
      <c r="N23" s="49"/>
      <c r="P23" s="300">
        <f>+C23/C22-1</f>
        <v>-0.022727272727272707</v>
      </c>
      <c r="Q23" s="300">
        <f>+D23/D22-1</f>
        <v>1.2177835051546393</v>
      </c>
      <c r="R23" s="300">
        <f>+E23/E22-1</f>
        <v>0.20004495392222976</v>
      </c>
      <c r="S23" s="300">
        <f>+F23/F22-1</f>
        <v>-0.46912483340737454</v>
      </c>
      <c r="T23" s="300">
        <f>+G23/G22-1</f>
        <v>-0.20503528514209424</v>
      </c>
      <c r="U23" s="300">
        <f>+H23/H22-1</f>
        <v>0.105745584618824</v>
      </c>
      <c r="V23" s="300">
        <f>+I23/I22-1</f>
        <v>-0.07278311965811968</v>
      </c>
      <c r="W23" s="300">
        <f>+J23/J22-1</f>
        <v>0.1810626298604927</v>
      </c>
      <c r="X23" s="300">
        <f>+K23/K22-1</f>
        <v>0.045333839150227595</v>
      </c>
    </row>
    <row r="24" spans="2:14" ht="12.75">
      <c r="B24" s="374" t="s">
        <v>238</v>
      </c>
      <c r="C24" s="375"/>
      <c r="D24" s="375"/>
      <c r="E24" s="375"/>
      <c r="F24" s="375"/>
      <c r="G24" s="375"/>
      <c r="H24" s="375"/>
      <c r="I24" s="375"/>
      <c r="J24" s="375"/>
      <c r="K24" s="375"/>
      <c r="L24" s="375"/>
      <c r="M24" s="63"/>
      <c r="N24" s="49"/>
    </row>
    <row r="26" spans="13:25" ht="12.75">
      <c r="M26" s="235"/>
      <c r="P26" s="315"/>
      <c r="Q26" s="315"/>
      <c r="R26" s="315"/>
      <c r="S26" s="315"/>
      <c r="T26" s="315"/>
      <c r="U26" s="315"/>
      <c r="V26" s="315"/>
      <c r="W26" s="315"/>
      <c r="X26" s="315"/>
      <c r="Y26" s="281"/>
    </row>
    <row r="27" spans="2:24" ht="12.75">
      <c r="B27" s="142"/>
      <c r="C27" s="140"/>
      <c r="D27" s="140"/>
      <c r="E27" s="140"/>
      <c r="F27" s="140"/>
      <c r="G27" s="140"/>
      <c r="H27" s="140"/>
      <c r="I27" s="140"/>
      <c r="J27" s="140"/>
      <c r="K27" s="140"/>
      <c r="L27" s="140"/>
      <c r="M27" s="232"/>
      <c r="T27" s="315"/>
      <c r="U27" s="315"/>
      <c r="V27" s="315"/>
      <c r="W27" s="315"/>
      <c r="X27" s="315"/>
    </row>
    <row r="28" spans="2:24" ht="12.75">
      <c r="B28" s="142"/>
      <c r="C28" s="140"/>
      <c r="D28" s="140"/>
      <c r="E28" s="140"/>
      <c r="F28" s="140"/>
      <c r="G28" s="140"/>
      <c r="H28" s="140"/>
      <c r="I28" s="140"/>
      <c r="J28" s="140"/>
      <c r="K28" s="140"/>
      <c r="L28" s="140"/>
      <c r="M28" s="232"/>
      <c r="T28" s="315"/>
      <c r="U28" s="315"/>
      <c r="V28" s="315"/>
      <c r="W28" s="315"/>
      <c r="X28" s="315"/>
    </row>
    <row r="29" spans="2:24" ht="12.75">
      <c r="B29" s="142"/>
      <c r="C29" s="140"/>
      <c r="D29" s="140"/>
      <c r="E29" s="140"/>
      <c r="F29" s="140"/>
      <c r="G29" s="140"/>
      <c r="H29" s="140"/>
      <c r="I29" s="140"/>
      <c r="J29" s="140"/>
      <c r="K29" s="140"/>
      <c r="L29" s="140"/>
      <c r="M29" s="232"/>
      <c r="T29" s="315"/>
      <c r="U29" s="315"/>
      <c r="V29" s="315"/>
      <c r="W29" s="315"/>
      <c r="X29" s="315"/>
    </row>
    <row r="30" spans="2:13" ht="12.75">
      <c r="B30" s="233"/>
      <c r="C30" s="234"/>
      <c r="D30" s="234"/>
      <c r="E30" s="234"/>
      <c r="F30" s="234"/>
      <c r="G30" s="234"/>
      <c r="H30" s="234"/>
      <c r="I30" s="234"/>
      <c r="J30" s="234"/>
      <c r="K30" s="234"/>
      <c r="L30" s="234"/>
      <c r="M30" s="236"/>
    </row>
    <row r="46" ht="12.75">
      <c r="B46" s="46"/>
    </row>
    <row r="47" ht="12.75">
      <c r="B47" s="240" t="s">
        <v>239</v>
      </c>
    </row>
    <row r="48" spans="3:12" ht="12.75">
      <c r="C48" s="133"/>
      <c r="D48" s="133"/>
      <c r="E48" s="133"/>
      <c r="F48" s="133"/>
      <c r="G48" s="133"/>
      <c r="H48" s="133"/>
      <c r="I48" s="133"/>
      <c r="J48" s="133"/>
      <c r="K48" s="133"/>
      <c r="L48" s="133"/>
    </row>
    <row r="49" spans="16:24" s="142" customFormat="1" ht="12.75">
      <c r="P49" s="134"/>
      <c r="Q49" s="134"/>
      <c r="R49" s="134"/>
      <c r="S49" s="134"/>
      <c r="T49" s="134"/>
      <c r="U49" s="134"/>
      <c r="V49" s="134"/>
      <c r="W49" s="134"/>
      <c r="X49" s="134"/>
    </row>
    <row r="50" spans="16:24" s="142" customFormat="1" ht="12.75">
      <c r="P50" s="134"/>
      <c r="Q50" s="134"/>
      <c r="R50" s="134"/>
      <c r="S50" s="134"/>
      <c r="T50" s="134"/>
      <c r="U50" s="134"/>
      <c r="V50" s="134"/>
      <c r="W50" s="134"/>
      <c r="X50" s="134"/>
    </row>
    <row r="51" spans="15:25" s="134" customFormat="1" ht="12.75" hidden="1">
      <c r="O51" s="142"/>
      <c r="Y51" s="142"/>
    </row>
    <row r="52" spans="15:25" s="134" customFormat="1" ht="12.75" hidden="1">
      <c r="O52" s="142"/>
      <c r="Y52" s="142"/>
    </row>
    <row r="53" spans="16:24" s="142" customFormat="1" ht="12.75">
      <c r="P53" s="134"/>
      <c r="Q53" s="134"/>
      <c r="R53" s="134"/>
      <c r="S53" s="134"/>
      <c r="T53" s="134"/>
      <c r="U53" s="134"/>
      <c r="V53" s="134"/>
      <c r="W53" s="134"/>
      <c r="X53" s="134"/>
    </row>
  </sheetData>
  <sheetProtection/>
  <mergeCells count="5">
    <mergeCell ref="B6:B7"/>
    <mergeCell ref="B2:L2"/>
    <mergeCell ref="B3:L3"/>
    <mergeCell ref="B4:L4"/>
    <mergeCell ref="B24:L24"/>
  </mergeCells>
  <hyperlinks>
    <hyperlink ref="N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22" scale="8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B2:X52"/>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0.8515625" style="20" customWidth="1"/>
    <col min="3" max="4" width="11.7109375" style="20" customWidth="1"/>
    <col min="5" max="5" width="14.421875" style="20" customWidth="1"/>
    <col min="6" max="6" width="10.8515625" style="20" customWidth="1"/>
    <col min="7" max="7" width="11.8515625" style="20" customWidth="1"/>
    <col min="8" max="8" width="12.421875" style="20" customWidth="1"/>
    <col min="9" max="9" width="13.421875" style="20" customWidth="1"/>
    <col min="10" max="10" width="10.8515625" style="20" customWidth="1"/>
    <col min="11" max="11" width="11.421875" style="20" customWidth="1"/>
    <col min="12" max="12" width="10.8515625" style="20" customWidth="1"/>
    <col min="13" max="13" width="2.00390625" style="20" customWidth="1"/>
    <col min="14" max="14" width="12.7109375" style="20" bestFit="1" customWidth="1"/>
    <col min="15" max="15" width="10.8515625" style="142" customWidth="1"/>
    <col min="16" max="24" width="10.8515625" style="134" hidden="1" customWidth="1"/>
    <col min="25" max="25" width="10.8515625" style="142" customWidth="1"/>
    <col min="26" max="16384" width="10.8515625" style="20" customWidth="1"/>
  </cols>
  <sheetData>
    <row r="1" ht="6.75" customHeight="1"/>
    <row r="2" spans="2:14" ht="12.75">
      <c r="B2" s="378" t="s">
        <v>64</v>
      </c>
      <c r="C2" s="378"/>
      <c r="D2" s="378"/>
      <c r="E2" s="378"/>
      <c r="F2" s="378"/>
      <c r="G2" s="378"/>
      <c r="H2" s="378"/>
      <c r="I2" s="378"/>
      <c r="J2" s="378"/>
      <c r="K2" s="378"/>
      <c r="L2" s="378"/>
      <c r="M2" s="225"/>
      <c r="N2" s="44" t="s">
        <v>147</v>
      </c>
    </row>
    <row r="3" spans="2:13" ht="14.25" customHeight="1">
      <c r="B3" s="378" t="s">
        <v>48</v>
      </c>
      <c r="C3" s="378"/>
      <c r="D3" s="378"/>
      <c r="E3" s="378"/>
      <c r="F3" s="378"/>
      <c r="G3" s="378"/>
      <c r="H3" s="378"/>
      <c r="I3" s="378"/>
      <c r="J3" s="378"/>
      <c r="K3" s="378"/>
      <c r="L3" s="378"/>
      <c r="M3" s="225"/>
    </row>
    <row r="4" spans="2:13" ht="12.75">
      <c r="B4" s="378" t="s">
        <v>28</v>
      </c>
      <c r="C4" s="378"/>
      <c r="D4" s="378"/>
      <c r="E4" s="378"/>
      <c r="F4" s="378"/>
      <c r="G4" s="378"/>
      <c r="H4" s="378"/>
      <c r="I4" s="378"/>
      <c r="J4" s="378"/>
      <c r="K4" s="378"/>
      <c r="L4" s="378"/>
      <c r="M4" s="225"/>
    </row>
    <row r="5" spans="2:12" ht="12.75">
      <c r="B5" s="111"/>
      <c r="C5" s="111"/>
      <c r="D5" s="111"/>
      <c r="E5" s="111"/>
      <c r="F5" s="111"/>
      <c r="G5" s="111"/>
      <c r="H5" s="111"/>
      <c r="I5" s="111"/>
      <c r="J5" s="112"/>
      <c r="K5" s="111"/>
      <c r="L5" s="113"/>
    </row>
    <row r="6" spans="2:13" ht="12.75">
      <c r="B6" s="376" t="s">
        <v>13</v>
      </c>
      <c r="C6" s="226" t="s">
        <v>24</v>
      </c>
      <c r="D6" s="226" t="s">
        <v>24</v>
      </c>
      <c r="E6" s="226" t="s">
        <v>26</v>
      </c>
      <c r="F6" s="226" t="s">
        <v>24</v>
      </c>
      <c r="G6" s="226" t="s">
        <v>25</v>
      </c>
      <c r="H6" s="226" t="s">
        <v>25</v>
      </c>
      <c r="I6" s="226" t="s">
        <v>24</v>
      </c>
      <c r="J6" s="226" t="s">
        <v>24</v>
      </c>
      <c r="K6" s="226" t="s">
        <v>24</v>
      </c>
      <c r="L6" s="226" t="s">
        <v>151</v>
      </c>
      <c r="M6" s="1"/>
    </row>
    <row r="7" spans="2:24" ht="12.75">
      <c r="B7" s="377"/>
      <c r="C7" s="227" t="s">
        <v>23</v>
      </c>
      <c r="D7" s="227" t="s">
        <v>22</v>
      </c>
      <c r="E7" s="227" t="s">
        <v>21</v>
      </c>
      <c r="F7" s="227" t="s">
        <v>20</v>
      </c>
      <c r="G7" s="227" t="s">
        <v>19</v>
      </c>
      <c r="H7" s="227" t="s">
        <v>18</v>
      </c>
      <c r="I7" s="227" t="s">
        <v>17</v>
      </c>
      <c r="J7" s="227" t="s">
        <v>16</v>
      </c>
      <c r="K7" s="227" t="s">
        <v>15</v>
      </c>
      <c r="L7" s="227" t="s">
        <v>152</v>
      </c>
      <c r="M7" s="1"/>
      <c r="P7" s="301" t="str">
        <f>+C7</f>
        <v>Coquimbo</v>
      </c>
      <c r="Q7" s="301" t="str">
        <f aca="true" t="shared" si="0" ref="Q7:V7">+D7</f>
        <v>Valparaíso</v>
      </c>
      <c r="R7" s="301" t="str">
        <f t="shared" si="0"/>
        <v>Metropolitana</v>
      </c>
      <c r="S7" s="301" t="str">
        <f t="shared" si="0"/>
        <v>O´Higgins</v>
      </c>
      <c r="T7" s="301" t="str">
        <f t="shared" si="0"/>
        <v>Maule</v>
      </c>
      <c r="U7" s="301" t="str">
        <f t="shared" si="0"/>
        <v>Bío Bío</v>
      </c>
      <c r="V7" s="301" t="str">
        <f t="shared" si="0"/>
        <v>La Araucanía</v>
      </c>
      <c r="W7" s="301" t="str">
        <f>+J7</f>
        <v>Los Ríos</v>
      </c>
      <c r="X7" s="301" t="str">
        <f>+K7</f>
        <v>Los Lagos</v>
      </c>
    </row>
    <row r="8" spans="2:13" ht="12.75">
      <c r="B8" s="114" t="s">
        <v>11</v>
      </c>
      <c r="C8" s="77">
        <v>131241.4</v>
      </c>
      <c r="D8" s="115">
        <v>21402.7</v>
      </c>
      <c r="E8" s="115">
        <v>82529.4</v>
      </c>
      <c r="F8" s="115">
        <v>49669.7</v>
      </c>
      <c r="G8" s="115">
        <v>62218.6</v>
      </c>
      <c r="H8" s="115">
        <v>104593.9</v>
      </c>
      <c r="I8" s="115">
        <v>420346.7</v>
      </c>
      <c r="J8" s="114"/>
      <c r="K8" s="115">
        <v>419319.1</v>
      </c>
      <c r="L8" s="115"/>
      <c r="M8" s="63"/>
    </row>
    <row r="9" spans="2:24" ht="12.75">
      <c r="B9" s="116" t="s">
        <v>10</v>
      </c>
      <c r="C9" s="117">
        <v>110721.3</v>
      </c>
      <c r="D9" s="117">
        <v>14420.5</v>
      </c>
      <c r="E9" s="117">
        <v>63776.2</v>
      </c>
      <c r="F9" s="117">
        <v>57186.7</v>
      </c>
      <c r="G9" s="117">
        <v>57216.7</v>
      </c>
      <c r="H9" s="117">
        <v>113195.2</v>
      </c>
      <c r="I9" s="117">
        <v>297628.6</v>
      </c>
      <c r="J9" s="116"/>
      <c r="K9" s="117">
        <v>367637.1</v>
      </c>
      <c r="L9" s="117"/>
      <c r="M9" s="63"/>
      <c r="P9" s="300">
        <f aca="true" t="shared" si="1" ref="P9:X21">+C9/C8-1</f>
        <v>-0.15635386394841866</v>
      </c>
      <c r="Q9" s="300">
        <f t="shared" si="1"/>
        <v>-0.32622986819419986</v>
      </c>
      <c r="R9" s="300">
        <f t="shared" si="1"/>
        <v>-0.22723053845053998</v>
      </c>
      <c r="S9" s="300">
        <f t="shared" si="1"/>
        <v>0.1513397503910836</v>
      </c>
      <c r="T9" s="300">
        <f t="shared" si="1"/>
        <v>-0.0803923585551588</v>
      </c>
      <c r="U9" s="300">
        <f t="shared" si="1"/>
        <v>0.08223519727249862</v>
      </c>
      <c r="V9" s="300">
        <f t="shared" si="1"/>
        <v>-0.2919449587685594</v>
      </c>
      <c r="W9" s="300" t="e">
        <f t="shared" si="1"/>
        <v>#DIV/0!</v>
      </c>
      <c r="X9" s="300">
        <f t="shared" si="1"/>
        <v>-0.12325219623909334</v>
      </c>
    </row>
    <row r="10" spans="2:24" ht="12.75">
      <c r="B10" s="116" t="s">
        <v>9</v>
      </c>
      <c r="C10" s="117">
        <v>109620</v>
      </c>
      <c r="D10" s="117">
        <v>15000</v>
      </c>
      <c r="E10" s="117">
        <v>63360</v>
      </c>
      <c r="F10" s="117">
        <v>65550</v>
      </c>
      <c r="G10" s="117">
        <v>57190</v>
      </c>
      <c r="H10" s="117">
        <v>128320</v>
      </c>
      <c r="I10" s="117">
        <v>302400</v>
      </c>
      <c r="J10" s="116"/>
      <c r="K10" s="117">
        <v>390784</v>
      </c>
      <c r="L10" s="117"/>
      <c r="M10" s="63"/>
      <c r="P10" s="300">
        <f t="shared" si="1"/>
        <v>-0.009946595641489031</v>
      </c>
      <c r="Q10" s="300">
        <f t="shared" si="1"/>
        <v>0.04018584653791479</v>
      </c>
      <c r="R10" s="300">
        <f t="shared" si="1"/>
        <v>-0.0065259454153743235</v>
      </c>
      <c r="S10" s="300">
        <f t="shared" si="1"/>
        <v>0.14624554310705107</v>
      </c>
      <c r="T10" s="300">
        <f t="shared" si="1"/>
        <v>-0.00046664697544596123</v>
      </c>
      <c r="U10" s="300">
        <f t="shared" si="1"/>
        <v>0.13361697315787247</v>
      </c>
      <c r="V10" s="300">
        <f t="shared" si="1"/>
        <v>0.016031389456524048</v>
      </c>
      <c r="W10" s="300" t="e">
        <f t="shared" si="1"/>
        <v>#DIV/0!</v>
      </c>
      <c r="X10" s="300">
        <f t="shared" si="1"/>
        <v>0.06296127349497649</v>
      </c>
    </row>
    <row r="11" spans="2:24" ht="12.75">
      <c r="B11" s="116" t="s">
        <v>8</v>
      </c>
      <c r="C11" s="117">
        <v>106540.8</v>
      </c>
      <c r="D11" s="117">
        <v>25575</v>
      </c>
      <c r="E11" s="117">
        <v>43227.6</v>
      </c>
      <c r="F11" s="117">
        <v>56512.8</v>
      </c>
      <c r="G11" s="117">
        <v>42448</v>
      </c>
      <c r="H11" s="117">
        <v>127498.3</v>
      </c>
      <c r="I11" s="117">
        <v>321303.4</v>
      </c>
      <c r="J11" s="116"/>
      <c r="K11" s="117">
        <v>380683.8</v>
      </c>
      <c r="L11" s="117"/>
      <c r="M11" s="63"/>
      <c r="P11" s="300">
        <f t="shared" si="1"/>
        <v>-0.028089764641488713</v>
      </c>
      <c r="Q11" s="300">
        <f t="shared" si="1"/>
        <v>0.7050000000000001</v>
      </c>
      <c r="R11" s="300">
        <f t="shared" si="1"/>
        <v>-0.3177462121212121</v>
      </c>
      <c r="S11" s="300">
        <f t="shared" si="1"/>
        <v>-0.13786727688787181</v>
      </c>
      <c r="T11" s="300">
        <f t="shared" si="1"/>
        <v>-0.2577723378212974</v>
      </c>
      <c r="U11" s="300">
        <f t="shared" si="1"/>
        <v>-0.006403522443890197</v>
      </c>
      <c r="V11" s="300">
        <f t="shared" si="1"/>
        <v>0.06251124338624336</v>
      </c>
      <c r="W11" s="300" t="e">
        <f t="shared" si="1"/>
        <v>#DIV/0!</v>
      </c>
      <c r="X11" s="300">
        <f t="shared" si="1"/>
        <v>-0.02584599164755985</v>
      </c>
    </row>
    <row r="12" spans="2:24" ht="12.75">
      <c r="B12" s="116" t="s">
        <v>7</v>
      </c>
      <c r="C12" s="117">
        <v>120464.5</v>
      </c>
      <c r="D12" s="117">
        <v>31322.5</v>
      </c>
      <c r="E12" s="117">
        <v>59440</v>
      </c>
      <c r="F12" s="117">
        <v>44261.8</v>
      </c>
      <c r="G12" s="117">
        <v>63355.6</v>
      </c>
      <c r="H12" s="117">
        <v>131670</v>
      </c>
      <c r="I12" s="117">
        <v>446083.8</v>
      </c>
      <c r="J12" s="116"/>
      <c r="K12" s="117">
        <v>482834</v>
      </c>
      <c r="L12" s="117"/>
      <c r="M12" s="63"/>
      <c r="P12" s="300">
        <f t="shared" si="1"/>
        <v>0.13068890040247494</v>
      </c>
      <c r="Q12" s="300">
        <f t="shared" si="1"/>
        <v>0.22473118279569881</v>
      </c>
      <c r="R12" s="300">
        <f t="shared" si="1"/>
        <v>0.37504742340541686</v>
      </c>
      <c r="S12" s="300">
        <f t="shared" si="1"/>
        <v>-0.2167827465636104</v>
      </c>
      <c r="T12" s="300">
        <f t="shared" si="1"/>
        <v>0.49254617414248014</v>
      </c>
      <c r="U12" s="300">
        <f t="shared" si="1"/>
        <v>0.0327196519483004</v>
      </c>
      <c r="V12" s="300">
        <f t="shared" si="1"/>
        <v>0.3883569237051334</v>
      </c>
      <c r="W12" s="300" t="e">
        <f t="shared" si="1"/>
        <v>#DIV/0!</v>
      </c>
      <c r="X12" s="300">
        <f t="shared" si="1"/>
        <v>0.26833345679537723</v>
      </c>
    </row>
    <row r="13" spans="2:24" ht="12.75">
      <c r="B13" s="116" t="s">
        <v>6</v>
      </c>
      <c r="C13" s="117">
        <v>56405.8</v>
      </c>
      <c r="D13" s="117">
        <v>20394.8</v>
      </c>
      <c r="E13" s="117">
        <v>87051.9</v>
      </c>
      <c r="F13" s="117">
        <v>22726.8</v>
      </c>
      <c r="G13" s="117">
        <v>44973.2</v>
      </c>
      <c r="H13" s="117">
        <v>97715.5</v>
      </c>
      <c r="I13" s="117">
        <v>212544.8</v>
      </c>
      <c r="J13" s="117">
        <v>72423.3</v>
      </c>
      <c r="K13" s="117">
        <v>213984.4</v>
      </c>
      <c r="L13" s="117"/>
      <c r="M13" s="63"/>
      <c r="P13" s="300">
        <f t="shared" si="1"/>
        <v>-0.5317641296813584</v>
      </c>
      <c r="Q13" s="300">
        <f t="shared" si="1"/>
        <v>-0.3488770053475936</v>
      </c>
      <c r="R13" s="300">
        <f t="shared" si="1"/>
        <v>0.4645339838492597</v>
      </c>
      <c r="S13" s="300">
        <f t="shared" si="1"/>
        <v>-0.4865369234870701</v>
      </c>
      <c r="T13" s="300">
        <f t="shared" si="1"/>
        <v>-0.29014641168262956</v>
      </c>
      <c r="U13" s="300">
        <f t="shared" si="1"/>
        <v>-0.25787574998101315</v>
      </c>
      <c r="V13" s="300">
        <f t="shared" si="1"/>
        <v>-0.523531677231946</v>
      </c>
      <c r="W13" s="300" t="e">
        <f t="shared" si="1"/>
        <v>#DIV/0!</v>
      </c>
      <c r="X13" s="300">
        <f t="shared" si="1"/>
        <v>-0.5568158000472212</v>
      </c>
    </row>
    <row r="14" spans="2:24" ht="12.75">
      <c r="B14" s="116" t="s">
        <v>5</v>
      </c>
      <c r="C14" s="117">
        <v>66880</v>
      </c>
      <c r="D14" s="117">
        <v>27744</v>
      </c>
      <c r="E14" s="117">
        <v>86001.3</v>
      </c>
      <c r="F14" s="117">
        <v>26690</v>
      </c>
      <c r="G14" s="117">
        <v>58550.1</v>
      </c>
      <c r="H14" s="117">
        <v>135270</v>
      </c>
      <c r="I14" s="117">
        <v>220224</v>
      </c>
      <c r="J14" s="117">
        <v>86623.2</v>
      </c>
      <c r="K14" s="117">
        <v>251518.8</v>
      </c>
      <c r="L14" s="117"/>
      <c r="M14" s="63"/>
      <c r="P14" s="300">
        <f t="shared" si="1"/>
        <v>0.18569366979991409</v>
      </c>
      <c r="Q14" s="300">
        <f t="shared" si="1"/>
        <v>0.3603467550552102</v>
      </c>
      <c r="R14" s="300">
        <f t="shared" si="1"/>
        <v>-0.012068662487550452</v>
      </c>
      <c r="S14" s="300">
        <f t="shared" si="1"/>
        <v>0.1743844271960857</v>
      </c>
      <c r="T14" s="300">
        <f t="shared" si="1"/>
        <v>0.30188868036964234</v>
      </c>
      <c r="U14" s="300">
        <f t="shared" si="1"/>
        <v>0.3843249023952189</v>
      </c>
      <c r="V14" s="300">
        <f t="shared" si="1"/>
        <v>0.036129794753859024</v>
      </c>
      <c r="W14" s="300">
        <f t="shared" si="1"/>
        <v>0.19606811620017317</v>
      </c>
      <c r="X14" s="300">
        <f t="shared" si="1"/>
        <v>0.17540717921493343</v>
      </c>
    </row>
    <row r="15" spans="2:24" ht="12.75">
      <c r="B15" s="116" t="s">
        <v>4</v>
      </c>
      <c r="C15" s="117">
        <v>51591.1</v>
      </c>
      <c r="D15" s="117">
        <v>8350.7</v>
      </c>
      <c r="E15" s="117">
        <v>53081.5</v>
      </c>
      <c r="F15" s="117">
        <v>3752.9</v>
      </c>
      <c r="G15" s="117">
        <v>31915.5</v>
      </c>
      <c r="H15" s="117">
        <v>109800.8</v>
      </c>
      <c r="I15" s="117">
        <v>265552.8</v>
      </c>
      <c r="J15" s="117">
        <v>121619.2</v>
      </c>
      <c r="K15" s="117">
        <v>272625</v>
      </c>
      <c r="L15" s="117"/>
      <c r="M15" s="63"/>
      <c r="P15" s="300">
        <f t="shared" si="1"/>
        <v>-0.22860197368421054</v>
      </c>
      <c r="Q15" s="300">
        <f t="shared" si="1"/>
        <v>-0.6990087946943483</v>
      </c>
      <c r="R15" s="300">
        <f t="shared" si="1"/>
        <v>-0.38278258584463265</v>
      </c>
      <c r="S15" s="300">
        <f t="shared" si="1"/>
        <v>-0.8593892843761708</v>
      </c>
      <c r="T15" s="300">
        <f t="shared" si="1"/>
        <v>-0.4549027243335195</v>
      </c>
      <c r="U15" s="300">
        <f t="shared" si="1"/>
        <v>-0.18828417239594886</v>
      </c>
      <c r="V15" s="300">
        <f t="shared" si="1"/>
        <v>0.20583042720139488</v>
      </c>
      <c r="W15" s="300">
        <f t="shared" si="1"/>
        <v>0.40400262285392374</v>
      </c>
      <c r="X15" s="300">
        <f t="shared" si="1"/>
        <v>0.08391499959446369</v>
      </c>
    </row>
    <row r="16" spans="2:24" ht="15" customHeight="1">
      <c r="B16" s="116" t="s">
        <v>3</v>
      </c>
      <c r="C16" s="117">
        <v>78466.3</v>
      </c>
      <c r="D16" s="117">
        <v>11764.2</v>
      </c>
      <c r="E16" s="117">
        <v>86174.8</v>
      </c>
      <c r="F16" s="117">
        <v>38358</v>
      </c>
      <c r="G16" s="117">
        <v>57455.5</v>
      </c>
      <c r="H16" s="117">
        <v>165633.4</v>
      </c>
      <c r="I16" s="117">
        <v>315519.2</v>
      </c>
      <c r="J16" s="117">
        <v>124687.7</v>
      </c>
      <c r="K16" s="117">
        <v>197024.2</v>
      </c>
      <c r="L16" s="117"/>
      <c r="M16" s="63"/>
      <c r="P16" s="300">
        <f t="shared" si="1"/>
        <v>0.520927059124539</v>
      </c>
      <c r="Q16" s="300">
        <f t="shared" si="1"/>
        <v>0.4087681272228676</v>
      </c>
      <c r="R16" s="300">
        <f t="shared" si="1"/>
        <v>0.6234431958403588</v>
      </c>
      <c r="S16" s="300">
        <f t="shared" si="1"/>
        <v>9.220895840549975</v>
      </c>
      <c r="T16" s="300">
        <f t="shared" si="1"/>
        <v>0.800238128808886</v>
      </c>
      <c r="U16" s="300">
        <f t="shared" si="1"/>
        <v>0.5084899199277235</v>
      </c>
      <c r="V16" s="300">
        <f t="shared" si="1"/>
        <v>0.1881599440864492</v>
      </c>
      <c r="W16" s="300">
        <f t="shared" si="1"/>
        <v>0.025230391254012607</v>
      </c>
      <c r="X16" s="300">
        <f t="shared" si="1"/>
        <v>-0.2773069234296194</v>
      </c>
    </row>
    <row r="17" spans="2:24" ht="12.75">
      <c r="B17" s="116" t="s">
        <v>2</v>
      </c>
      <c r="C17" s="117">
        <v>75516</v>
      </c>
      <c r="D17" s="117">
        <v>31084</v>
      </c>
      <c r="E17" s="117">
        <v>79125</v>
      </c>
      <c r="F17" s="117">
        <v>15805</v>
      </c>
      <c r="G17" s="117">
        <v>111620</v>
      </c>
      <c r="H17" s="117">
        <v>255835</v>
      </c>
      <c r="I17" s="117">
        <v>615990</v>
      </c>
      <c r="J17" s="117">
        <v>142120</v>
      </c>
      <c r="K17" s="117">
        <v>343081</v>
      </c>
      <c r="L17" s="117"/>
      <c r="M17" s="63"/>
      <c r="P17" s="300">
        <f t="shared" si="1"/>
        <v>-0.037599580966606094</v>
      </c>
      <c r="Q17" s="300">
        <f t="shared" si="1"/>
        <v>1.6422536169055268</v>
      </c>
      <c r="R17" s="300">
        <f t="shared" si="1"/>
        <v>-0.08180813880624038</v>
      </c>
      <c r="S17" s="300">
        <f t="shared" si="1"/>
        <v>-0.5879607904478856</v>
      </c>
      <c r="T17" s="300">
        <f t="shared" si="1"/>
        <v>0.9427208883396716</v>
      </c>
      <c r="U17" s="300">
        <f t="shared" si="1"/>
        <v>0.5445858142138</v>
      </c>
      <c r="V17" s="300">
        <f t="shared" si="1"/>
        <v>0.9523059135545475</v>
      </c>
      <c r="W17" s="300">
        <f t="shared" si="1"/>
        <v>0.13980769554655348</v>
      </c>
      <c r="X17" s="300">
        <f t="shared" si="1"/>
        <v>0.7413140111722316</v>
      </c>
    </row>
    <row r="18" spans="2:24" ht="12.75">
      <c r="B18" s="116" t="s">
        <v>119</v>
      </c>
      <c r="C18" s="117">
        <v>41067.3</v>
      </c>
      <c r="D18" s="117">
        <v>16000.460000000001</v>
      </c>
      <c r="E18" s="117">
        <v>88299.36</v>
      </c>
      <c r="F18" s="117">
        <v>25652.06</v>
      </c>
      <c r="G18" s="117">
        <v>34486.4</v>
      </c>
      <c r="H18" s="117">
        <v>101006.31999999999</v>
      </c>
      <c r="I18" s="117">
        <v>272034.6</v>
      </c>
      <c r="J18" s="117">
        <v>122928.38999999998</v>
      </c>
      <c r="K18" s="117">
        <v>385711.38</v>
      </c>
      <c r="L18" s="117"/>
      <c r="M18" s="63"/>
      <c r="P18" s="300">
        <f t="shared" si="1"/>
        <v>-0.4561774988081996</v>
      </c>
      <c r="Q18" s="300">
        <f t="shared" si="1"/>
        <v>-0.4852509329558615</v>
      </c>
      <c r="R18" s="300">
        <f t="shared" si="1"/>
        <v>0.11594767772511849</v>
      </c>
      <c r="S18" s="300">
        <f t="shared" si="1"/>
        <v>0.6230344827586207</v>
      </c>
      <c r="T18" s="300">
        <f t="shared" si="1"/>
        <v>-0.6910374484859344</v>
      </c>
      <c r="U18" s="300">
        <f t="shared" si="1"/>
        <v>-0.6051895948560596</v>
      </c>
      <c r="V18" s="300">
        <f t="shared" si="1"/>
        <v>-0.5583782204256563</v>
      </c>
      <c r="W18" s="300">
        <f t="shared" si="1"/>
        <v>-0.1350380664227414</v>
      </c>
      <c r="X18" s="300">
        <f t="shared" si="1"/>
        <v>0.1242574785546271</v>
      </c>
    </row>
    <row r="19" spans="2:24" ht="12.75">
      <c r="B19" s="116" t="s">
        <v>128</v>
      </c>
      <c r="C19" s="117">
        <v>51863.11990316702</v>
      </c>
      <c r="D19" s="117">
        <v>16391.720884117247</v>
      </c>
      <c r="E19" s="117">
        <v>112644.46653744439</v>
      </c>
      <c r="F19" s="117">
        <v>19220.222324539445</v>
      </c>
      <c r="G19" s="117">
        <v>69067.98620052033</v>
      </c>
      <c r="H19" s="117">
        <v>152632.15975101327</v>
      </c>
      <c r="I19" s="117">
        <v>314581.7498466616</v>
      </c>
      <c r="J19" s="117">
        <v>76034.57195077253</v>
      </c>
      <c r="K19" s="117">
        <v>340220.209903059</v>
      </c>
      <c r="L19" s="117"/>
      <c r="M19" s="63"/>
      <c r="P19" s="300">
        <f t="shared" si="1"/>
        <v>0.2628811707408818</v>
      </c>
      <c r="Q19" s="300">
        <f t="shared" si="1"/>
        <v>0.02445310223063868</v>
      </c>
      <c r="R19" s="300">
        <f t="shared" si="1"/>
        <v>0.27571101916757246</v>
      </c>
      <c r="S19" s="300">
        <f t="shared" si="1"/>
        <v>-0.250733768572994</v>
      </c>
      <c r="T19" s="300">
        <f t="shared" si="1"/>
        <v>1.002760108347648</v>
      </c>
      <c r="U19" s="300">
        <f t="shared" si="1"/>
        <v>0.5111149455896749</v>
      </c>
      <c r="V19" s="300">
        <f t="shared" si="1"/>
        <v>0.15640344958568364</v>
      </c>
      <c r="W19" s="300">
        <f t="shared" si="1"/>
        <v>-0.38147264475868803</v>
      </c>
      <c r="X19" s="300">
        <f t="shared" si="1"/>
        <v>-0.11794095911025748</v>
      </c>
    </row>
    <row r="20" spans="2:24" ht="12.75">
      <c r="B20" s="116" t="s">
        <v>142</v>
      </c>
      <c r="C20" s="117">
        <v>47235.5</v>
      </c>
      <c r="D20" s="117">
        <v>18070.8</v>
      </c>
      <c r="E20" s="117">
        <v>77889.39</v>
      </c>
      <c r="F20" s="117">
        <v>17620.16</v>
      </c>
      <c r="G20" s="117">
        <v>45494.03</v>
      </c>
      <c r="H20" s="117">
        <v>131819.4</v>
      </c>
      <c r="I20" s="117">
        <v>272045.36</v>
      </c>
      <c r="J20" s="117">
        <v>100735.98000000001</v>
      </c>
      <c r="K20" s="117">
        <v>344148.42000000004</v>
      </c>
      <c r="L20" s="117">
        <v>6265.9</v>
      </c>
      <c r="M20" s="63"/>
      <c r="P20" s="300">
        <f t="shared" si="1"/>
        <v>-0.089227565017438</v>
      </c>
      <c r="Q20" s="300">
        <f t="shared" si="1"/>
        <v>0.1024345843705583</v>
      </c>
      <c r="R20" s="300">
        <f t="shared" si="1"/>
        <v>-0.3085378057686604</v>
      </c>
      <c r="S20" s="300">
        <f t="shared" si="1"/>
        <v>-0.08324889782864597</v>
      </c>
      <c r="T20" s="300">
        <f t="shared" si="1"/>
        <v>-0.3413152387573555</v>
      </c>
      <c r="U20" s="300">
        <f t="shared" si="1"/>
        <v>-0.13635894155573014</v>
      </c>
      <c r="V20" s="300">
        <f t="shared" si="1"/>
        <v>-0.1352156947038261</v>
      </c>
      <c r="W20" s="300">
        <f t="shared" si="1"/>
        <v>0.3248707451818107</v>
      </c>
      <c r="X20" s="300">
        <f t="shared" si="1"/>
        <v>0.011546080986959417</v>
      </c>
    </row>
    <row r="21" spans="2:24" ht="12.75">
      <c r="B21" s="116" t="s">
        <v>171</v>
      </c>
      <c r="C21" s="117">
        <v>43406.3</v>
      </c>
      <c r="D21" s="117">
        <v>21881.1</v>
      </c>
      <c r="E21" s="117">
        <v>112928.4</v>
      </c>
      <c r="F21" s="117">
        <v>33402.9</v>
      </c>
      <c r="G21" s="117">
        <v>59085.4</v>
      </c>
      <c r="H21" s="117">
        <v>137049.3</v>
      </c>
      <c r="I21" s="117">
        <v>305709.5</v>
      </c>
      <c r="J21" s="117">
        <v>62139.8</v>
      </c>
      <c r="K21" s="117">
        <v>178633.9</v>
      </c>
      <c r="L21" s="117">
        <v>6265.44</v>
      </c>
      <c r="M21" s="63"/>
      <c r="P21" s="300">
        <f t="shared" si="1"/>
        <v>-0.0810661472832932</v>
      </c>
      <c r="Q21" s="300">
        <f t="shared" si="1"/>
        <v>0.21085397436748776</v>
      </c>
      <c r="R21" s="300">
        <f t="shared" si="1"/>
        <v>0.44985600734580156</v>
      </c>
      <c r="S21" s="300">
        <f t="shared" si="1"/>
        <v>0.8957205836950404</v>
      </c>
      <c r="T21" s="300">
        <f t="shared" si="1"/>
        <v>0.2987506272801068</v>
      </c>
      <c r="U21" s="300">
        <f t="shared" si="1"/>
        <v>0.039674736798984034</v>
      </c>
      <c r="V21" s="300">
        <f t="shared" si="1"/>
        <v>0.12374458435902014</v>
      </c>
      <c r="W21" s="300">
        <f t="shared" si="1"/>
        <v>-0.3831419518626811</v>
      </c>
      <c r="X21" s="300">
        <f t="shared" si="1"/>
        <v>-0.48093935750162686</v>
      </c>
    </row>
    <row r="22" spans="2:24" ht="12.75">
      <c r="B22" s="116" t="s">
        <v>189</v>
      </c>
      <c r="C22" s="117">
        <v>55735.817928483295</v>
      </c>
      <c r="D22" s="117">
        <v>24283.260402086016</v>
      </c>
      <c r="E22" s="117">
        <v>79277.19869993313</v>
      </c>
      <c r="F22" s="117">
        <v>28309.72260457333</v>
      </c>
      <c r="G22" s="117">
        <v>75935.70389311104</v>
      </c>
      <c r="H22" s="117">
        <v>141130.0223919691</v>
      </c>
      <c r="I22" s="117">
        <v>368994.71594551863</v>
      </c>
      <c r="J22" s="117">
        <v>87347.81615447787</v>
      </c>
      <c r="K22" s="117">
        <v>341847.43427319085</v>
      </c>
      <c r="L22" s="117">
        <v>6850.954904834283</v>
      </c>
      <c r="M22" s="63"/>
      <c r="P22" s="300">
        <f>+C22/C21-1</f>
        <v>0.28404904192440483</v>
      </c>
      <c r="Q22" s="300">
        <f>+D22/D21-1</f>
        <v>0.10978243333680737</v>
      </c>
      <c r="R22" s="300">
        <f>+E22/E21-1</f>
        <v>-0.29798705462989705</v>
      </c>
      <c r="S22" s="300">
        <f>+F22/F21-1</f>
        <v>-0.15247710215061183</v>
      </c>
      <c r="T22" s="300">
        <f>+G22/G21-1</f>
        <v>0.28518557703106073</v>
      </c>
      <c r="U22" s="300">
        <f>+H22/H21-1</f>
        <v>0.02977557996990221</v>
      </c>
      <c r="V22" s="300">
        <f>+I22/I21-1</f>
        <v>0.2070109563017133</v>
      </c>
      <c r="W22" s="300">
        <f>+J22/J21-1</f>
        <v>0.4056661938802164</v>
      </c>
      <c r="X22" s="300">
        <f>+K22/K21-1</f>
        <v>0.9136761514650402</v>
      </c>
    </row>
    <row r="23" spans="2:24" ht="12.75">
      <c r="B23" s="116" t="s">
        <v>249</v>
      </c>
      <c r="C23" s="117">
        <v>54517.979999999996</v>
      </c>
      <c r="D23" s="117">
        <v>23887.480000000003</v>
      </c>
      <c r="E23" s="117">
        <v>90763</v>
      </c>
      <c r="F23" s="117">
        <v>18426.9</v>
      </c>
      <c r="G23" s="117">
        <v>92237.84</v>
      </c>
      <c r="H23" s="117">
        <v>170637</v>
      </c>
      <c r="I23" s="117">
        <v>369923.04</v>
      </c>
      <c r="J23" s="117">
        <v>126094.50999999998</v>
      </c>
      <c r="K23" s="117">
        <v>473725.56000000006</v>
      </c>
      <c r="L23" s="117">
        <v>6265.4400000000005</v>
      </c>
      <c r="M23" s="63"/>
      <c r="P23" s="300">
        <f>+C23/C22-1</f>
        <v>-0.021850184921408222</v>
      </c>
      <c r="Q23" s="300">
        <f>+D23/D22-1</f>
        <v>-0.016298486921962674</v>
      </c>
      <c r="R23" s="300">
        <f>+E23/E22-1</f>
        <v>0.14488152316709657</v>
      </c>
      <c r="S23" s="300">
        <f>+F23/F22-1</f>
        <v>-0.3490964126570705</v>
      </c>
      <c r="T23" s="300">
        <f>+G23/G22-1</f>
        <v>0.21468341334974972</v>
      </c>
      <c r="U23" s="300">
        <f>+H23/H22-1</f>
        <v>0.20907654592500058</v>
      </c>
      <c r="V23" s="300">
        <f>+I23/I22-1</f>
        <v>0.0025158193718373134</v>
      </c>
      <c r="W23" s="300">
        <f>+J23/J22-1</f>
        <v>0.4435908709726313</v>
      </c>
      <c r="X23" s="300">
        <f>+K23/K22-1</f>
        <v>0.3857806509713846</v>
      </c>
    </row>
    <row r="24" spans="2:12" ht="12.75">
      <c r="B24" s="379" t="s">
        <v>239</v>
      </c>
      <c r="C24" s="380"/>
      <c r="D24" s="380"/>
      <c r="E24" s="380"/>
      <c r="F24" s="380"/>
      <c r="G24" s="380"/>
      <c r="H24" s="380"/>
      <c r="I24" s="380"/>
      <c r="J24" s="380"/>
      <c r="K24" s="380"/>
      <c r="L24" s="380"/>
    </row>
    <row r="25" spans="2:12" ht="12.75">
      <c r="B25" s="113"/>
      <c r="C25" s="113"/>
      <c r="D25" s="113"/>
      <c r="E25" s="113"/>
      <c r="F25" s="113"/>
      <c r="G25" s="113"/>
      <c r="H25" s="113"/>
      <c r="I25" s="113"/>
      <c r="J25" s="113"/>
      <c r="K25" s="113"/>
      <c r="L25" s="113"/>
    </row>
    <row r="26" spans="2:13" ht="12.75">
      <c r="B26" s="241"/>
      <c r="C26" s="242"/>
      <c r="D26" s="242"/>
      <c r="E26" s="242"/>
      <c r="F26" s="242"/>
      <c r="G26" s="242"/>
      <c r="H26" s="242"/>
      <c r="I26" s="242"/>
      <c r="J26" s="242"/>
      <c r="K26" s="242"/>
      <c r="L26" s="242"/>
      <c r="M26" s="237"/>
    </row>
    <row r="27" spans="2:13" ht="12.75">
      <c r="B27" s="241"/>
      <c r="C27" s="242"/>
      <c r="D27" s="242"/>
      <c r="E27" s="242"/>
      <c r="F27" s="242"/>
      <c r="G27" s="242"/>
      <c r="H27" s="242"/>
      <c r="I27" s="242"/>
      <c r="J27" s="242"/>
      <c r="K27" s="242"/>
      <c r="L27" s="242"/>
      <c r="M27" s="237"/>
    </row>
    <row r="28" spans="2:13" ht="12.75">
      <c r="B28" s="241"/>
      <c r="C28" s="242"/>
      <c r="D28" s="242"/>
      <c r="E28" s="242"/>
      <c r="F28" s="242"/>
      <c r="G28" s="242"/>
      <c r="H28" s="242"/>
      <c r="I28" s="242"/>
      <c r="J28" s="242"/>
      <c r="K28" s="242"/>
      <c r="L28" s="242"/>
      <c r="M28" s="237"/>
    </row>
    <row r="29" spans="2:13" ht="12.75">
      <c r="B29" s="241"/>
      <c r="C29" s="243"/>
      <c r="D29" s="243"/>
      <c r="E29" s="243"/>
      <c r="F29" s="243"/>
      <c r="G29" s="243"/>
      <c r="H29" s="243"/>
      <c r="I29" s="243"/>
      <c r="J29" s="243"/>
      <c r="K29" s="243"/>
      <c r="L29" s="243"/>
      <c r="M29" s="237"/>
    </row>
    <row r="30" spans="2:12" ht="12.75">
      <c r="B30" s="113"/>
      <c r="C30" s="113"/>
      <c r="D30" s="113"/>
      <c r="E30" s="113"/>
      <c r="F30" s="113"/>
      <c r="G30" s="113"/>
      <c r="H30" s="113"/>
      <c r="I30" s="113"/>
      <c r="J30" s="113"/>
      <c r="K30" s="113"/>
      <c r="L30" s="113"/>
    </row>
    <row r="31" spans="2:12" ht="12.75">
      <c r="B31" s="113"/>
      <c r="C31" s="113"/>
      <c r="D31" s="113"/>
      <c r="E31" s="113"/>
      <c r="F31" s="113"/>
      <c r="G31" s="113"/>
      <c r="H31" s="113"/>
      <c r="I31" s="113"/>
      <c r="J31" s="113"/>
      <c r="K31" s="113"/>
      <c r="L31" s="113"/>
    </row>
    <row r="32" spans="2:12" ht="12.75">
      <c r="B32" s="113"/>
      <c r="C32" s="113"/>
      <c r="D32" s="113"/>
      <c r="E32" s="113"/>
      <c r="F32" s="113"/>
      <c r="G32" s="113"/>
      <c r="H32" s="113"/>
      <c r="I32" s="113"/>
      <c r="J32" s="113"/>
      <c r="K32" s="113"/>
      <c r="L32" s="113"/>
    </row>
    <row r="33" spans="2:12" ht="12.75">
      <c r="B33" s="113"/>
      <c r="C33" s="113"/>
      <c r="D33" s="113"/>
      <c r="E33" s="113"/>
      <c r="F33" s="113"/>
      <c r="G33" s="113"/>
      <c r="H33" s="113"/>
      <c r="I33" s="113"/>
      <c r="J33" s="113"/>
      <c r="K33" s="113"/>
      <c r="L33" s="113"/>
    </row>
    <row r="34" spans="2:12" ht="12.75">
      <c r="B34" s="113"/>
      <c r="C34" s="113"/>
      <c r="D34" s="113"/>
      <c r="E34" s="113"/>
      <c r="F34" s="113"/>
      <c r="G34" s="113"/>
      <c r="H34" s="113"/>
      <c r="I34" s="113"/>
      <c r="J34" s="113"/>
      <c r="K34" s="113"/>
      <c r="L34" s="113"/>
    </row>
    <row r="35" spans="2:12" ht="12.75">
      <c r="B35" s="113"/>
      <c r="C35" s="113"/>
      <c r="D35" s="113"/>
      <c r="E35" s="113"/>
      <c r="F35" s="113"/>
      <c r="G35" s="113"/>
      <c r="H35" s="113"/>
      <c r="I35" s="113"/>
      <c r="J35" s="113"/>
      <c r="K35" s="113"/>
      <c r="L35" s="113"/>
    </row>
    <row r="36" spans="2:12" ht="12.75">
      <c r="B36" s="113"/>
      <c r="C36" s="113"/>
      <c r="D36" s="113"/>
      <c r="E36" s="113"/>
      <c r="F36" s="113"/>
      <c r="G36" s="113"/>
      <c r="H36" s="113"/>
      <c r="I36" s="113"/>
      <c r="J36" s="113"/>
      <c r="K36" s="113"/>
      <c r="L36" s="113"/>
    </row>
    <row r="37" spans="2:12" ht="12.75">
      <c r="B37" s="113"/>
      <c r="C37" s="113"/>
      <c r="D37" s="113"/>
      <c r="E37" s="113"/>
      <c r="F37" s="113"/>
      <c r="G37" s="113"/>
      <c r="H37" s="113"/>
      <c r="I37" s="113"/>
      <c r="J37" s="113"/>
      <c r="K37" s="113"/>
      <c r="L37" s="113"/>
    </row>
    <row r="38" spans="2:12" ht="12.75">
      <c r="B38" s="113"/>
      <c r="C38" s="113"/>
      <c r="D38" s="113"/>
      <c r="E38" s="113"/>
      <c r="F38" s="113"/>
      <c r="G38" s="113"/>
      <c r="H38" s="113"/>
      <c r="I38" s="113"/>
      <c r="J38" s="113"/>
      <c r="K38" s="113"/>
      <c r="L38" s="113"/>
    </row>
    <row r="39" spans="2:12" ht="12.75">
      <c r="B39" s="113"/>
      <c r="C39" s="113"/>
      <c r="D39" s="113"/>
      <c r="E39" s="113"/>
      <c r="F39" s="113"/>
      <c r="G39" s="113"/>
      <c r="H39" s="113"/>
      <c r="I39" s="113"/>
      <c r="J39" s="113"/>
      <c r="K39" s="113"/>
      <c r="L39" s="113"/>
    </row>
    <row r="40" spans="2:12" ht="12.75">
      <c r="B40" s="113"/>
      <c r="C40" s="113"/>
      <c r="D40" s="113"/>
      <c r="E40" s="113"/>
      <c r="F40" s="113"/>
      <c r="G40" s="113"/>
      <c r="H40" s="113"/>
      <c r="I40" s="113"/>
      <c r="J40" s="113"/>
      <c r="K40" s="113"/>
      <c r="L40" s="113"/>
    </row>
    <row r="41" spans="2:12" ht="12.75">
      <c r="B41" s="113"/>
      <c r="C41" s="113"/>
      <c r="D41" s="113"/>
      <c r="E41" s="113"/>
      <c r="F41" s="113"/>
      <c r="G41" s="113"/>
      <c r="H41" s="113"/>
      <c r="I41" s="113"/>
      <c r="J41" s="113"/>
      <c r="K41" s="113"/>
      <c r="L41" s="113"/>
    </row>
    <row r="42" spans="2:12" ht="12.75">
      <c r="B42" s="113"/>
      <c r="C42" s="113"/>
      <c r="D42" s="113"/>
      <c r="E42" s="113"/>
      <c r="F42" s="113"/>
      <c r="G42" s="113"/>
      <c r="H42" s="113"/>
      <c r="I42" s="113"/>
      <c r="J42" s="113"/>
      <c r="K42" s="113"/>
      <c r="L42" s="113"/>
    </row>
    <row r="43" spans="2:12" ht="12.75">
      <c r="B43" s="113"/>
      <c r="C43" s="113"/>
      <c r="D43" s="113"/>
      <c r="E43" s="113"/>
      <c r="F43" s="113"/>
      <c r="G43" s="113"/>
      <c r="H43" s="113"/>
      <c r="I43" s="113"/>
      <c r="J43" s="113"/>
      <c r="K43" s="113"/>
      <c r="L43" s="113"/>
    </row>
    <row r="44" spans="2:12" ht="12.75">
      <c r="B44" s="113"/>
      <c r="C44" s="113"/>
      <c r="D44" s="113"/>
      <c r="E44" s="113"/>
      <c r="F44" s="113"/>
      <c r="G44" s="113"/>
      <c r="H44" s="113"/>
      <c r="I44" s="113"/>
      <c r="J44" s="113"/>
      <c r="K44" s="113"/>
      <c r="L44" s="113"/>
    </row>
    <row r="45" spans="2:12" ht="12.75">
      <c r="B45" s="113"/>
      <c r="C45" s="113"/>
      <c r="D45" s="113"/>
      <c r="E45" s="113"/>
      <c r="F45" s="113"/>
      <c r="G45" s="113"/>
      <c r="H45" s="113"/>
      <c r="I45" s="113"/>
      <c r="J45" s="113"/>
      <c r="K45" s="113"/>
      <c r="L45" s="113"/>
    </row>
    <row r="46" spans="2:12" ht="12.75">
      <c r="B46" s="113"/>
      <c r="C46" s="113"/>
      <c r="D46" s="113"/>
      <c r="E46" s="113"/>
      <c r="F46" s="113"/>
      <c r="G46" s="113"/>
      <c r="H46" s="113"/>
      <c r="I46" s="113"/>
      <c r="J46" s="113"/>
      <c r="K46" s="113"/>
      <c r="L46" s="113"/>
    </row>
    <row r="47" spans="3:12" ht="12.75">
      <c r="C47" s="113"/>
      <c r="D47" s="113"/>
      <c r="E47" s="113"/>
      <c r="F47" s="113"/>
      <c r="G47" s="113"/>
      <c r="H47" s="113"/>
      <c r="I47" s="113"/>
      <c r="J47" s="113"/>
      <c r="K47" s="113"/>
      <c r="L47" s="113"/>
    </row>
    <row r="48" spans="2:12" ht="12.75">
      <c r="B48" s="113"/>
      <c r="C48" s="113"/>
      <c r="D48" s="113"/>
      <c r="E48" s="113"/>
      <c r="F48" s="113"/>
      <c r="G48" s="113"/>
      <c r="H48" s="113"/>
      <c r="I48" s="113"/>
      <c r="J48" s="113"/>
      <c r="K48" s="113"/>
      <c r="L48" s="113"/>
    </row>
    <row r="49" ht="12.75">
      <c r="B49" s="240" t="s">
        <v>239</v>
      </c>
    </row>
    <row r="52" spans="3:12" ht="12.75">
      <c r="C52" s="117"/>
      <c r="D52" s="117"/>
      <c r="E52" s="117"/>
      <c r="F52" s="117"/>
      <c r="G52" s="117"/>
      <c r="H52" s="117"/>
      <c r="I52" s="117"/>
      <c r="J52" s="117"/>
      <c r="K52" s="117"/>
      <c r="L52" s="117"/>
    </row>
  </sheetData>
  <sheetProtection/>
  <mergeCells count="5">
    <mergeCell ref="B6:B7"/>
    <mergeCell ref="B2:L2"/>
    <mergeCell ref="B3:L3"/>
    <mergeCell ref="B4:L4"/>
    <mergeCell ref="B24:L24"/>
  </mergeCells>
  <hyperlinks>
    <hyperlink ref="N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22" scale="78"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B2:Y51"/>
  <sheetViews>
    <sheetView zoomScale="80" zoomScaleNormal="80" zoomScalePageLayoutView="80" workbookViewId="0" topLeftCell="A1">
      <selection activeCell="A1" sqref="A1"/>
    </sheetView>
  </sheetViews>
  <sheetFormatPr defaultColWidth="10.8515625" defaultRowHeight="15"/>
  <cols>
    <col min="1" max="1" width="1.421875" style="20" customWidth="1"/>
    <col min="2" max="2" width="11.421875" style="20" customWidth="1"/>
    <col min="3" max="4" width="12.00390625" style="20" customWidth="1"/>
    <col min="5" max="5" width="14.8515625" style="20" customWidth="1"/>
    <col min="6" max="8" width="12.00390625" style="20" customWidth="1"/>
    <col min="9" max="9" width="13.7109375" style="20" customWidth="1"/>
    <col min="10" max="11" width="12.00390625" style="20" customWidth="1"/>
    <col min="12" max="12" width="10.8515625" style="20" customWidth="1"/>
    <col min="13" max="13" width="1.28515625" style="20" customWidth="1"/>
    <col min="14" max="14" width="10.8515625" style="20" customWidth="1"/>
    <col min="15" max="15" width="10.8515625" style="142" customWidth="1"/>
    <col min="16" max="24" width="10.8515625" style="134" hidden="1" customWidth="1"/>
    <col min="25" max="25" width="10.8515625" style="142" customWidth="1"/>
    <col min="26" max="16384" width="10.8515625" style="20" customWidth="1"/>
  </cols>
  <sheetData>
    <row r="1" ht="6.75" customHeight="1"/>
    <row r="2" spans="2:16" ht="12.75">
      <c r="B2" s="353" t="s">
        <v>138</v>
      </c>
      <c r="C2" s="353"/>
      <c r="D2" s="353"/>
      <c r="E2" s="353"/>
      <c r="F2" s="353"/>
      <c r="G2" s="353"/>
      <c r="H2" s="353"/>
      <c r="I2" s="353"/>
      <c r="J2" s="353"/>
      <c r="K2" s="353"/>
      <c r="L2" s="353"/>
      <c r="M2" s="225"/>
      <c r="N2" s="44" t="s">
        <v>147</v>
      </c>
      <c r="O2" s="219"/>
      <c r="P2" s="302"/>
    </row>
    <row r="3" spans="2:16" ht="12.75">
      <c r="B3" s="353" t="s">
        <v>47</v>
      </c>
      <c r="C3" s="353"/>
      <c r="D3" s="353"/>
      <c r="E3" s="353"/>
      <c r="F3" s="353"/>
      <c r="G3" s="353"/>
      <c r="H3" s="353"/>
      <c r="I3" s="353"/>
      <c r="J3" s="353"/>
      <c r="K3" s="353"/>
      <c r="L3" s="353"/>
      <c r="M3" s="225"/>
      <c r="N3" s="225"/>
      <c r="O3" s="219"/>
      <c r="P3" s="302"/>
    </row>
    <row r="4" spans="2:16" ht="15" customHeight="1">
      <c r="B4" s="353" t="s">
        <v>29</v>
      </c>
      <c r="C4" s="353"/>
      <c r="D4" s="353"/>
      <c r="E4" s="353"/>
      <c r="F4" s="353"/>
      <c r="G4" s="353"/>
      <c r="H4" s="353"/>
      <c r="I4" s="353"/>
      <c r="J4" s="353"/>
      <c r="K4" s="353"/>
      <c r="L4" s="353"/>
      <c r="M4" s="225"/>
      <c r="N4" s="225"/>
      <c r="O4" s="219"/>
      <c r="P4" s="302"/>
    </row>
    <row r="5" spans="2:16" ht="12.75">
      <c r="B5" s="2"/>
      <c r="C5" s="2"/>
      <c r="D5" s="2"/>
      <c r="E5" s="2"/>
      <c r="F5" s="2"/>
      <c r="G5" s="2"/>
      <c r="H5" s="2"/>
      <c r="I5" s="2"/>
      <c r="J5" s="2"/>
      <c r="K5" s="2"/>
      <c r="L5" s="2"/>
      <c r="M5" s="2"/>
      <c r="N5" s="2"/>
      <c r="O5" s="246"/>
      <c r="P5" s="303"/>
    </row>
    <row r="6" spans="2:16" ht="15" customHeight="1">
      <c r="B6" s="376" t="s">
        <v>13</v>
      </c>
      <c r="C6" s="226" t="s">
        <v>24</v>
      </c>
      <c r="D6" s="226" t="s">
        <v>24</v>
      </c>
      <c r="E6" s="226" t="s">
        <v>26</v>
      </c>
      <c r="F6" s="226" t="s">
        <v>24</v>
      </c>
      <c r="G6" s="226" t="s">
        <v>25</v>
      </c>
      <c r="H6" s="226" t="s">
        <v>25</v>
      </c>
      <c r="I6" s="226" t="s">
        <v>24</v>
      </c>
      <c r="J6" s="226" t="s">
        <v>24</v>
      </c>
      <c r="K6" s="226" t="s">
        <v>24</v>
      </c>
      <c r="L6" s="226" t="s">
        <v>151</v>
      </c>
      <c r="M6" s="1"/>
      <c r="N6" s="1"/>
      <c r="O6" s="247"/>
      <c r="P6" s="304"/>
    </row>
    <row r="7" spans="2:25" ht="15" customHeight="1">
      <c r="B7" s="377"/>
      <c r="C7" s="227" t="s">
        <v>23</v>
      </c>
      <c r="D7" s="227" t="s">
        <v>22</v>
      </c>
      <c r="E7" s="227" t="s">
        <v>21</v>
      </c>
      <c r="F7" s="227" t="s">
        <v>20</v>
      </c>
      <c r="G7" s="227" t="s">
        <v>19</v>
      </c>
      <c r="H7" s="227" t="s">
        <v>18</v>
      </c>
      <c r="I7" s="227" t="s">
        <v>17</v>
      </c>
      <c r="J7" s="227" t="s">
        <v>16</v>
      </c>
      <c r="K7" s="227" t="s">
        <v>15</v>
      </c>
      <c r="L7" s="227" t="s">
        <v>152</v>
      </c>
      <c r="M7" s="1"/>
      <c r="N7" s="1"/>
      <c r="O7" s="247"/>
      <c r="P7" s="301" t="str">
        <f>+C7</f>
        <v>Coquimbo</v>
      </c>
      <c r="Q7" s="301" t="str">
        <f aca="true" t="shared" si="0" ref="Q7:V7">+D7</f>
        <v>Valparaíso</v>
      </c>
      <c r="R7" s="301" t="str">
        <f t="shared" si="0"/>
        <v>Metropolitana</v>
      </c>
      <c r="S7" s="301" t="str">
        <f t="shared" si="0"/>
        <v>O´Higgins</v>
      </c>
      <c r="T7" s="301" t="str">
        <f t="shared" si="0"/>
        <v>Maule</v>
      </c>
      <c r="U7" s="301" t="str">
        <f t="shared" si="0"/>
        <v>Bío Bío</v>
      </c>
      <c r="V7" s="301" t="str">
        <f t="shared" si="0"/>
        <v>La Araucanía</v>
      </c>
      <c r="W7" s="301" t="str">
        <f>+J7</f>
        <v>Los Ríos</v>
      </c>
      <c r="X7" s="301" t="str">
        <f>+K7</f>
        <v>Los Lagos</v>
      </c>
      <c r="Y7" s="247"/>
    </row>
    <row r="8" spans="2:25" ht="12.75" customHeight="1">
      <c r="B8" s="64" t="s">
        <v>11</v>
      </c>
      <c r="C8" s="78">
        <v>22.020369127516776</v>
      </c>
      <c r="D8" s="79">
        <v>14.461283783783784</v>
      </c>
      <c r="E8" s="79">
        <v>19.28257009345794</v>
      </c>
      <c r="F8" s="79">
        <v>16.780304054054053</v>
      </c>
      <c r="G8" s="79">
        <v>14.920527577937651</v>
      </c>
      <c r="H8" s="79">
        <v>19.960667938931298</v>
      </c>
      <c r="I8" s="79">
        <v>23.313738214087632</v>
      </c>
      <c r="J8" s="79"/>
      <c r="K8" s="79">
        <v>23.38645287228109</v>
      </c>
      <c r="L8" s="79"/>
      <c r="M8" s="79"/>
      <c r="N8" s="45"/>
      <c r="O8" s="248"/>
      <c r="Y8" s="248"/>
    </row>
    <row r="9" spans="2:25" ht="12.75" customHeight="1">
      <c r="B9" s="64" t="s">
        <v>10</v>
      </c>
      <c r="C9" s="79">
        <v>20.42828413284133</v>
      </c>
      <c r="D9" s="79">
        <v>12.118067226890757</v>
      </c>
      <c r="E9" s="79">
        <v>15.59320293398533</v>
      </c>
      <c r="F9" s="79">
        <v>18.21232484076433</v>
      </c>
      <c r="G9" s="79">
        <v>14.86148051948052</v>
      </c>
      <c r="H9" s="79">
        <v>19.89370826010545</v>
      </c>
      <c r="I9" s="79">
        <v>19.841906666666667</v>
      </c>
      <c r="J9" s="79"/>
      <c r="K9" s="79">
        <v>22.54059472716125</v>
      </c>
      <c r="L9" s="79"/>
      <c r="M9" s="79"/>
      <c r="N9" s="45"/>
      <c r="O9" s="248"/>
      <c r="P9" s="300">
        <f aca="true" t="shared" si="1" ref="P9:X21">+C9/C8-1</f>
        <v>-0.07230055888054876</v>
      </c>
      <c r="Q9" s="300">
        <f t="shared" si="1"/>
        <v>-0.16203378565329052</v>
      </c>
      <c r="R9" s="300">
        <f t="shared" si="1"/>
        <v>-0.191331712608389</v>
      </c>
      <c r="S9" s="300">
        <f t="shared" si="1"/>
        <v>0.08533938253426987</v>
      </c>
      <c r="T9" s="300">
        <f t="shared" si="1"/>
        <v>-0.0039574377077954415</v>
      </c>
      <c r="U9" s="300">
        <f t="shared" si="1"/>
        <v>-0.003354581070669105</v>
      </c>
      <c r="V9" s="300">
        <f t="shared" si="1"/>
        <v>-0.14891784043980838</v>
      </c>
      <c r="W9" s="300" t="e">
        <f t="shared" si="1"/>
        <v>#DIV/0!</v>
      </c>
      <c r="X9" s="300">
        <f t="shared" si="1"/>
        <v>-0.03616872339466237</v>
      </c>
      <c r="Y9" s="248"/>
    </row>
    <row r="10" spans="2:25" ht="12.75" customHeight="1">
      <c r="B10" s="64" t="s">
        <v>9</v>
      </c>
      <c r="C10" s="79">
        <v>20.3</v>
      </c>
      <c r="D10" s="79">
        <v>12.5</v>
      </c>
      <c r="E10" s="79">
        <v>15.84</v>
      </c>
      <c r="F10" s="79">
        <v>19</v>
      </c>
      <c r="G10" s="79">
        <v>15.05</v>
      </c>
      <c r="H10" s="79">
        <v>20.05</v>
      </c>
      <c r="I10" s="79">
        <v>18</v>
      </c>
      <c r="J10" s="79"/>
      <c r="K10" s="79">
        <v>22.72</v>
      </c>
      <c r="L10" s="79"/>
      <c r="M10" s="79"/>
      <c r="N10" s="45"/>
      <c r="O10" s="248"/>
      <c r="P10" s="300">
        <f t="shared" si="1"/>
        <v>-0.006279731180901971</v>
      </c>
      <c r="Q10" s="300">
        <f t="shared" si="1"/>
        <v>0.03151763115009887</v>
      </c>
      <c r="R10" s="300">
        <f t="shared" si="1"/>
        <v>0.015827220812779652</v>
      </c>
      <c r="S10" s="300">
        <f t="shared" si="1"/>
        <v>0.043249566769895775</v>
      </c>
      <c r="T10" s="300">
        <f t="shared" si="1"/>
        <v>0.012685107669613949</v>
      </c>
      <c r="U10" s="300">
        <f t="shared" si="1"/>
        <v>0.007856340198171052</v>
      </c>
      <c r="V10" s="300">
        <f t="shared" si="1"/>
        <v>-0.09282911655667503</v>
      </c>
      <c r="W10" s="300" t="e">
        <f t="shared" si="1"/>
        <v>#DIV/0!</v>
      </c>
      <c r="X10" s="300">
        <f t="shared" si="1"/>
        <v>0.007959207599015361</v>
      </c>
      <c r="Y10" s="248"/>
    </row>
    <row r="11" spans="2:25" ht="12.75" customHeight="1">
      <c r="B11" s="64" t="s">
        <v>8</v>
      </c>
      <c r="C11" s="79">
        <v>21.48</v>
      </c>
      <c r="D11" s="79">
        <v>16.5</v>
      </c>
      <c r="E11" s="79">
        <v>13.26</v>
      </c>
      <c r="F11" s="79">
        <v>20.04</v>
      </c>
      <c r="G11" s="79">
        <v>15.16</v>
      </c>
      <c r="H11" s="79">
        <v>20.27</v>
      </c>
      <c r="I11" s="79">
        <v>20.57</v>
      </c>
      <c r="J11" s="64"/>
      <c r="K11" s="79">
        <v>22.380000000000003</v>
      </c>
      <c r="L11" s="79"/>
      <c r="M11" s="79"/>
      <c r="N11" s="45"/>
      <c r="O11" s="248"/>
      <c r="P11" s="300">
        <f t="shared" si="1"/>
        <v>0.058128078817734075</v>
      </c>
      <c r="Q11" s="300">
        <f t="shared" si="1"/>
        <v>0.32000000000000006</v>
      </c>
      <c r="R11" s="300">
        <f t="shared" si="1"/>
        <v>-0.16287878787878785</v>
      </c>
      <c r="S11" s="300">
        <f t="shared" si="1"/>
        <v>0.054736842105263195</v>
      </c>
      <c r="T11" s="300">
        <f t="shared" si="1"/>
        <v>0.0073089700996678</v>
      </c>
      <c r="U11" s="300">
        <f t="shared" si="1"/>
        <v>0.010972568578553554</v>
      </c>
      <c r="V11" s="300">
        <f t="shared" si="1"/>
        <v>0.1427777777777779</v>
      </c>
      <c r="W11" s="300" t="e">
        <f t="shared" si="1"/>
        <v>#DIV/0!</v>
      </c>
      <c r="X11" s="300">
        <f t="shared" si="1"/>
        <v>-0.014964788732394152</v>
      </c>
      <c r="Y11" s="248"/>
    </row>
    <row r="12" spans="2:25" ht="12.75" customHeight="1">
      <c r="B12" s="64" t="s">
        <v>7</v>
      </c>
      <c r="C12" s="79">
        <v>21.55</v>
      </c>
      <c r="D12" s="79">
        <v>16.75</v>
      </c>
      <c r="E12" s="79">
        <v>14.86</v>
      </c>
      <c r="F12" s="79">
        <v>12.98</v>
      </c>
      <c r="G12" s="79">
        <v>16.94</v>
      </c>
      <c r="H12" s="79">
        <v>19.95</v>
      </c>
      <c r="I12" s="79">
        <v>24.81</v>
      </c>
      <c r="J12" s="64"/>
      <c r="K12" s="79">
        <v>25.82</v>
      </c>
      <c r="L12" s="79"/>
      <c r="M12" s="79"/>
      <c r="N12" s="45"/>
      <c r="O12" s="248"/>
      <c r="P12" s="300">
        <f t="shared" si="1"/>
        <v>0.0032588454376163423</v>
      </c>
      <c r="Q12" s="300">
        <f t="shared" si="1"/>
        <v>0.015151515151515138</v>
      </c>
      <c r="R12" s="300">
        <f t="shared" si="1"/>
        <v>0.1206636500754148</v>
      </c>
      <c r="S12" s="300">
        <f t="shared" si="1"/>
        <v>-0.3522954091816367</v>
      </c>
      <c r="T12" s="300">
        <f t="shared" si="1"/>
        <v>0.11741424802110823</v>
      </c>
      <c r="U12" s="300">
        <f t="shared" si="1"/>
        <v>-0.015786877158362134</v>
      </c>
      <c r="V12" s="300">
        <f t="shared" si="1"/>
        <v>0.20612542537676215</v>
      </c>
      <c r="W12" s="300" t="e">
        <f t="shared" si="1"/>
        <v>#DIV/0!</v>
      </c>
      <c r="X12" s="300">
        <f t="shared" si="1"/>
        <v>0.15370866845397657</v>
      </c>
      <c r="Y12" s="248"/>
    </row>
    <row r="13" spans="2:25" ht="12.75" customHeight="1">
      <c r="B13" s="64" t="s">
        <v>6</v>
      </c>
      <c r="C13" s="79">
        <v>17.426408798813643</v>
      </c>
      <c r="D13" s="79">
        <v>9.337508813376187</v>
      </c>
      <c r="E13" s="79">
        <v>16.623426967364942</v>
      </c>
      <c r="F13" s="79">
        <v>13.281982350534744</v>
      </c>
      <c r="G13" s="79">
        <v>13.350154657230894</v>
      </c>
      <c r="H13" s="79">
        <v>11.576870309860222</v>
      </c>
      <c r="I13" s="79">
        <v>15.118167139676645</v>
      </c>
      <c r="J13" s="79">
        <v>18.236673129705636</v>
      </c>
      <c r="K13" s="79">
        <v>19.057086368736975</v>
      </c>
      <c r="L13" s="79"/>
      <c r="M13" s="79"/>
      <c r="N13" s="45"/>
      <c r="O13" s="248"/>
      <c r="P13" s="300">
        <f t="shared" si="1"/>
        <v>-0.1913499397302254</v>
      </c>
      <c r="Q13" s="300">
        <f t="shared" si="1"/>
        <v>-0.4425367872611231</v>
      </c>
      <c r="R13" s="300">
        <f t="shared" si="1"/>
        <v>0.11866937869212268</v>
      </c>
      <c r="S13" s="300">
        <f t="shared" si="1"/>
        <v>0.023265204201444067</v>
      </c>
      <c r="T13" s="300">
        <f t="shared" si="1"/>
        <v>-0.2119153094905022</v>
      </c>
      <c r="U13" s="300">
        <f t="shared" si="1"/>
        <v>-0.4197057488791869</v>
      </c>
      <c r="V13" s="300">
        <f t="shared" si="1"/>
        <v>-0.3906421950956612</v>
      </c>
      <c r="W13" s="300" t="e">
        <f t="shared" si="1"/>
        <v>#DIV/0!</v>
      </c>
      <c r="X13" s="300">
        <f t="shared" si="1"/>
        <v>-0.26192539238044243</v>
      </c>
      <c r="Y13" s="248"/>
    </row>
    <row r="14" spans="2:25" ht="12.75" customHeight="1">
      <c r="B14" s="64" t="s">
        <v>5</v>
      </c>
      <c r="C14" s="79">
        <v>19</v>
      </c>
      <c r="D14" s="79">
        <v>13.6</v>
      </c>
      <c r="E14" s="79">
        <v>15.330000000000002</v>
      </c>
      <c r="F14" s="79">
        <v>17</v>
      </c>
      <c r="G14" s="79">
        <v>17.07</v>
      </c>
      <c r="H14" s="79">
        <v>16.7</v>
      </c>
      <c r="I14" s="79">
        <v>14.88</v>
      </c>
      <c r="J14" s="79">
        <v>20.43</v>
      </c>
      <c r="K14" s="79">
        <v>21.03</v>
      </c>
      <c r="L14" s="79"/>
      <c r="M14" s="79"/>
      <c r="N14" s="45"/>
      <c r="O14" s="248"/>
      <c r="P14" s="300">
        <f t="shared" si="1"/>
        <v>0.09029922454783024</v>
      </c>
      <c r="Q14" s="300">
        <f t="shared" si="1"/>
        <v>0.456491262478671</v>
      </c>
      <c r="R14" s="300">
        <f t="shared" si="1"/>
        <v>-0.07780748036516127</v>
      </c>
      <c r="S14" s="300">
        <f t="shared" si="1"/>
        <v>0.2799294225319886</v>
      </c>
      <c r="T14" s="300">
        <f t="shared" si="1"/>
        <v>0.27863687262636416</v>
      </c>
      <c r="U14" s="300">
        <f t="shared" si="1"/>
        <v>0.4425314919332144</v>
      </c>
      <c r="V14" s="300">
        <f t="shared" si="1"/>
        <v>-0.015753704630741217</v>
      </c>
      <c r="W14" s="300">
        <f t="shared" si="1"/>
        <v>0.12027012025135564</v>
      </c>
      <c r="X14" s="300">
        <f t="shared" si="1"/>
        <v>0.10352650940909713</v>
      </c>
      <c r="Y14" s="248"/>
    </row>
    <row r="15" spans="2:25" ht="12.75" customHeight="1">
      <c r="B15" s="64" t="s">
        <v>4</v>
      </c>
      <c r="C15" s="79">
        <v>17.22</v>
      </c>
      <c r="D15" s="79">
        <v>13.780000000000001</v>
      </c>
      <c r="E15" s="79">
        <v>19.23</v>
      </c>
      <c r="F15" s="79">
        <v>14.49</v>
      </c>
      <c r="G15" s="79">
        <v>14.62</v>
      </c>
      <c r="H15" s="79">
        <v>15.63</v>
      </c>
      <c r="I15" s="79">
        <v>19.71</v>
      </c>
      <c r="J15" s="79">
        <v>26.630000000000003</v>
      </c>
      <c r="K15" s="79">
        <v>25.910000000000004</v>
      </c>
      <c r="L15" s="79"/>
      <c r="M15" s="79"/>
      <c r="N15" s="45"/>
      <c r="O15" s="248"/>
      <c r="P15" s="300">
        <f t="shared" si="1"/>
        <v>-0.09368421052631581</v>
      </c>
      <c r="Q15" s="300">
        <f t="shared" si="1"/>
        <v>0.013235294117647234</v>
      </c>
      <c r="R15" s="300">
        <f t="shared" si="1"/>
        <v>0.25440313111545976</v>
      </c>
      <c r="S15" s="300">
        <f t="shared" si="1"/>
        <v>-0.14764705882352935</v>
      </c>
      <c r="T15" s="300">
        <f t="shared" si="1"/>
        <v>-0.1435266549502051</v>
      </c>
      <c r="U15" s="300">
        <f t="shared" si="1"/>
        <v>-0.06407185628742507</v>
      </c>
      <c r="V15" s="300">
        <f t="shared" si="1"/>
        <v>0.32459677419354827</v>
      </c>
      <c r="W15" s="300">
        <f t="shared" si="1"/>
        <v>0.30347528144884994</v>
      </c>
      <c r="X15" s="300">
        <f t="shared" si="1"/>
        <v>0.2320494531621493</v>
      </c>
      <c r="Y15" s="248"/>
    </row>
    <row r="16" spans="2:25" ht="12.75" customHeight="1">
      <c r="B16" s="64" t="s">
        <v>3</v>
      </c>
      <c r="C16" s="79">
        <v>22.94</v>
      </c>
      <c r="D16" s="79">
        <v>26.330000000000002</v>
      </c>
      <c r="E16" s="79">
        <v>24.669999999999998</v>
      </c>
      <c r="F16" s="79">
        <v>19.36</v>
      </c>
      <c r="G16" s="79">
        <v>12.52</v>
      </c>
      <c r="H16" s="79">
        <v>18.490000000000002</v>
      </c>
      <c r="I16" s="79">
        <v>18.830000000000002</v>
      </c>
      <c r="J16" s="79">
        <v>33.1</v>
      </c>
      <c r="K16" s="79">
        <v>29.53</v>
      </c>
      <c r="L16" s="79"/>
      <c r="M16" s="79"/>
      <c r="N16" s="45"/>
      <c r="O16" s="248"/>
      <c r="P16" s="300">
        <f t="shared" si="1"/>
        <v>0.33217189314750306</v>
      </c>
      <c r="Q16" s="300">
        <f t="shared" si="1"/>
        <v>0.9107402031930334</v>
      </c>
      <c r="R16" s="300">
        <f t="shared" si="1"/>
        <v>0.28289131565262604</v>
      </c>
      <c r="S16" s="300">
        <f t="shared" si="1"/>
        <v>0.3360938578329882</v>
      </c>
      <c r="T16" s="300">
        <f t="shared" si="1"/>
        <v>-0.14363885088919282</v>
      </c>
      <c r="U16" s="300">
        <f t="shared" si="1"/>
        <v>0.18298144593730004</v>
      </c>
      <c r="V16" s="300">
        <f t="shared" si="1"/>
        <v>-0.044647387113140535</v>
      </c>
      <c r="W16" s="300">
        <f t="shared" si="1"/>
        <v>0.24295906871948914</v>
      </c>
      <c r="X16" s="300">
        <f t="shared" si="1"/>
        <v>0.13971439598610558</v>
      </c>
      <c r="Y16" s="248"/>
    </row>
    <row r="17" spans="2:25" ht="12.75" customHeight="1">
      <c r="B17" s="64" t="s">
        <v>2</v>
      </c>
      <c r="C17" s="79">
        <v>23.54</v>
      </c>
      <c r="D17" s="79">
        <v>20.52</v>
      </c>
      <c r="E17" s="79">
        <v>21.1</v>
      </c>
      <c r="F17" s="79">
        <v>17.82</v>
      </c>
      <c r="G17" s="79">
        <v>24.35</v>
      </c>
      <c r="H17" s="79">
        <v>27.26</v>
      </c>
      <c r="I17" s="79">
        <v>34.69</v>
      </c>
      <c r="J17" s="79">
        <v>37.019999999999996</v>
      </c>
      <c r="K17" s="79">
        <v>42.55</v>
      </c>
      <c r="L17" s="79"/>
      <c r="M17" s="79"/>
      <c r="N17" s="45"/>
      <c r="O17" s="248"/>
      <c r="P17" s="300">
        <f t="shared" si="1"/>
        <v>0.02615518744550993</v>
      </c>
      <c r="Q17" s="300">
        <f t="shared" si="1"/>
        <v>-0.2206608431447019</v>
      </c>
      <c r="R17" s="300">
        <f t="shared" si="1"/>
        <v>-0.14471017430077004</v>
      </c>
      <c r="S17" s="300">
        <f t="shared" si="1"/>
        <v>-0.07954545454545447</v>
      </c>
      <c r="T17" s="300">
        <f t="shared" si="1"/>
        <v>0.9448881789137382</v>
      </c>
      <c r="U17" s="300">
        <f t="shared" si="1"/>
        <v>0.4743104380746348</v>
      </c>
      <c r="V17" s="300">
        <f t="shared" si="1"/>
        <v>0.8422729686670205</v>
      </c>
      <c r="W17" s="300">
        <f t="shared" si="1"/>
        <v>0.1184290030211479</v>
      </c>
      <c r="X17" s="300">
        <f t="shared" si="1"/>
        <v>0.4409075516423975</v>
      </c>
      <c r="Y17" s="248"/>
    </row>
    <row r="18" spans="2:25" ht="12.75" customHeight="1">
      <c r="B18" s="64" t="s">
        <v>119</v>
      </c>
      <c r="C18" s="79">
        <v>22.02</v>
      </c>
      <c r="D18" s="79">
        <v>11.26</v>
      </c>
      <c r="E18" s="79">
        <v>24.48</v>
      </c>
      <c r="F18" s="79">
        <v>15.260000000000002</v>
      </c>
      <c r="G18" s="79">
        <v>16.580000000000002</v>
      </c>
      <c r="H18" s="79">
        <v>16.84</v>
      </c>
      <c r="I18" s="79">
        <v>26.2</v>
      </c>
      <c r="J18" s="79">
        <v>36.230000000000004</v>
      </c>
      <c r="K18" s="79">
        <v>37.019999999999996</v>
      </c>
      <c r="L18" s="79"/>
      <c r="M18" s="79"/>
      <c r="N18" s="45"/>
      <c r="O18" s="248"/>
      <c r="P18" s="300">
        <f t="shared" si="1"/>
        <v>-0.06457094307561595</v>
      </c>
      <c r="Q18" s="300">
        <f t="shared" si="1"/>
        <v>-0.45126705653021437</v>
      </c>
      <c r="R18" s="300">
        <f t="shared" si="1"/>
        <v>0.16018957345971563</v>
      </c>
      <c r="S18" s="300">
        <f t="shared" si="1"/>
        <v>-0.1436588103254769</v>
      </c>
      <c r="T18" s="300">
        <f t="shared" si="1"/>
        <v>-0.31909650924024635</v>
      </c>
      <c r="U18" s="300">
        <f t="shared" si="1"/>
        <v>-0.38224504768892154</v>
      </c>
      <c r="V18" s="300">
        <f t="shared" si="1"/>
        <v>-0.24473911790141245</v>
      </c>
      <c r="W18" s="300">
        <f t="shared" si="1"/>
        <v>-0.021339816315504967</v>
      </c>
      <c r="X18" s="300">
        <f t="shared" si="1"/>
        <v>-0.1299647473560518</v>
      </c>
      <c r="Y18" s="248"/>
    </row>
    <row r="19" spans="2:25" ht="12.75" customHeight="1">
      <c r="B19" s="64" t="s">
        <v>128</v>
      </c>
      <c r="C19" s="79">
        <v>20.37043201224156</v>
      </c>
      <c r="D19" s="79">
        <v>14.861034346434494</v>
      </c>
      <c r="E19" s="79">
        <v>22.069840622540045</v>
      </c>
      <c r="F19" s="79">
        <v>20.40363304091236</v>
      </c>
      <c r="G19" s="79">
        <v>22.892935432721355</v>
      </c>
      <c r="H19" s="79">
        <v>18.231266095438755</v>
      </c>
      <c r="I19" s="79">
        <v>21.75681235539536</v>
      </c>
      <c r="J19" s="79">
        <v>22.80581042314713</v>
      </c>
      <c r="K19" s="79">
        <v>33.98124349810817</v>
      </c>
      <c r="L19" s="79"/>
      <c r="M19" s="79"/>
      <c r="N19" s="45"/>
      <c r="O19" s="248"/>
      <c r="P19" s="300">
        <f t="shared" si="1"/>
        <v>-0.07491226102445225</v>
      </c>
      <c r="Q19" s="300">
        <f t="shared" si="1"/>
        <v>0.3198076684222464</v>
      </c>
      <c r="R19" s="300">
        <f t="shared" si="1"/>
        <v>-0.09845422293545569</v>
      </c>
      <c r="S19" s="300">
        <f t="shared" si="1"/>
        <v>0.3370663853808884</v>
      </c>
      <c r="T19" s="300">
        <f t="shared" si="1"/>
        <v>0.3807560574620841</v>
      </c>
      <c r="U19" s="300">
        <f t="shared" si="1"/>
        <v>0.08261675151061487</v>
      </c>
      <c r="V19" s="300">
        <f t="shared" si="1"/>
        <v>-0.16958731467956634</v>
      </c>
      <c r="W19" s="300">
        <f t="shared" si="1"/>
        <v>-0.3705268997199247</v>
      </c>
      <c r="X19" s="300">
        <f t="shared" si="1"/>
        <v>-0.08208418427584618</v>
      </c>
      <c r="Y19" s="248"/>
    </row>
    <row r="20" spans="2:25" ht="12.75" customHeight="1">
      <c r="B20" s="64" t="s">
        <v>142</v>
      </c>
      <c r="C20" s="79">
        <v>21.5</v>
      </c>
      <c r="D20" s="79">
        <v>12.209999999999999</v>
      </c>
      <c r="E20" s="79">
        <v>23.61</v>
      </c>
      <c r="F20" s="79">
        <v>12.64</v>
      </c>
      <c r="G20" s="79">
        <v>12.79</v>
      </c>
      <c r="H20" s="79">
        <v>15.45</v>
      </c>
      <c r="I20" s="79">
        <v>20.84</v>
      </c>
      <c r="J20" s="79">
        <v>25.14</v>
      </c>
      <c r="K20" s="79">
        <v>31.990000000000002</v>
      </c>
      <c r="L20" s="79">
        <v>9.120669577874818</v>
      </c>
      <c r="M20" s="79"/>
      <c r="N20" s="45"/>
      <c r="O20" s="248"/>
      <c r="P20" s="300">
        <f t="shared" si="1"/>
        <v>0.05545135160018333</v>
      </c>
      <c r="Q20" s="300">
        <f t="shared" si="1"/>
        <v>-0.17838827935086088</v>
      </c>
      <c r="R20" s="300">
        <f t="shared" si="1"/>
        <v>0.06978570456403665</v>
      </c>
      <c r="S20" s="300">
        <f t="shared" si="1"/>
        <v>-0.3805024833246661</v>
      </c>
      <c r="T20" s="300">
        <f t="shared" si="1"/>
        <v>-0.4413123630393426</v>
      </c>
      <c r="U20" s="300">
        <f t="shared" si="1"/>
        <v>-0.15255474199537877</v>
      </c>
      <c r="V20" s="300">
        <f t="shared" si="1"/>
        <v>-0.04213909374311475</v>
      </c>
      <c r="W20" s="300">
        <f t="shared" si="1"/>
        <v>0.10235065246722153</v>
      </c>
      <c r="X20" s="300">
        <f t="shared" si="1"/>
        <v>-0.0585983116897717</v>
      </c>
      <c r="Y20" s="248"/>
    </row>
    <row r="21" spans="2:25" ht="12.75" customHeight="1">
      <c r="B21" s="64" t="s">
        <v>171</v>
      </c>
      <c r="C21" s="79">
        <v>23.15</v>
      </c>
      <c r="D21" s="79">
        <v>15.08</v>
      </c>
      <c r="E21" s="79">
        <v>22.86</v>
      </c>
      <c r="F21" s="79">
        <v>16.31</v>
      </c>
      <c r="G21" s="79">
        <v>16.44</v>
      </c>
      <c r="H21" s="79">
        <v>15.78</v>
      </c>
      <c r="I21" s="79">
        <v>18.21</v>
      </c>
      <c r="J21" s="79">
        <v>17.8</v>
      </c>
      <c r="K21" s="79">
        <v>25.64</v>
      </c>
      <c r="L21" s="79">
        <v>9.12</v>
      </c>
      <c r="M21" s="79"/>
      <c r="N21" s="45"/>
      <c r="O21" s="248"/>
      <c r="P21" s="300">
        <f t="shared" si="1"/>
        <v>0.07674418604651145</v>
      </c>
      <c r="Q21" s="300">
        <f t="shared" si="1"/>
        <v>0.23505323505323505</v>
      </c>
      <c r="R21" s="300">
        <f t="shared" si="1"/>
        <v>-0.031766200762388785</v>
      </c>
      <c r="S21" s="300">
        <f t="shared" si="1"/>
        <v>0.29034810126582267</v>
      </c>
      <c r="T21" s="300">
        <f t="shared" si="1"/>
        <v>0.2853792025019548</v>
      </c>
      <c r="U21" s="300">
        <f t="shared" si="1"/>
        <v>0.021359223300970953</v>
      </c>
      <c r="V21" s="300">
        <f t="shared" si="1"/>
        <v>-0.1261996161228407</v>
      </c>
      <c r="W21" s="300">
        <f t="shared" si="1"/>
        <v>-0.2919649960222752</v>
      </c>
      <c r="X21" s="300">
        <f t="shared" si="1"/>
        <v>-0.19849953110346985</v>
      </c>
      <c r="Y21" s="248"/>
    </row>
    <row r="22" spans="2:25" ht="12.75" customHeight="1">
      <c r="B22" s="64" t="s">
        <v>189</v>
      </c>
      <c r="C22" s="79">
        <v>24.23</v>
      </c>
      <c r="D22" s="79">
        <v>17.81</v>
      </c>
      <c r="E22" s="79">
        <v>17.2</v>
      </c>
      <c r="F22" s="79">
        <v>13.73</v>
      </c>
      <c r="G22" s="79">
        <v>16.919999999999998</v>
      </c>
      <c r="H22" s="79">
        <v>14.809999999999999</v>
      </c>
      <c r="I22" s="79">
        <v>22.619999999999997</v>
      </c>
      <c r="J22" s="79">
        <v>22</v>
      </c>
      <c r="K22" s="79">
        <v>33.2</v>
      </c>
      <c r="L22" s="79">
        <v>9.120000000000001</v>
      </c>
      <c r="M22" s="79"/>
      <c r="N22" s="45"/>
      <c r="O22" s="248"/>
      <c r="P22" s="300">
        <f aca="true" t="shared" si="2" ref="P22:X23">+C22/C21-1</f>
        <v>0.046652267818574567</v>
      </c>
      <c r="Q22" s="300">
        <f t="shared" si="2"/>
        <v>0.18103448275862055</v>
      </c>
      <c r="R22" s="300">
        <f t="shared" si="2"/>
        <v>-0.24759405074365703</v>
      </c>
      <c r="S22" s="300">
        <f t="shared" si="2"/>
        <v>-0.15818516247700787</v>
      </c>
      <c r="T22" s="300">
        <f t="shared" si="2"/>
        <v>0.029197080291970545</v>
      </c>
      <c r="U22" s="300">
        <f t="shared" si="2"/>
        <v>-0.06147021546261089</v>
      </c>
      <c r="V22" s="300">
        <f t="shared" si="2"/>
        <v>0.2421746293245468</v>
      </c>
      <c r="W22" s="300">
        <f t="shared" si="2"/>
        <v>0.2359550561797752</v>
      </c>
      <c r="X22" s="300">
        <f t="shared" si="2"/>
        <v>0.294851794071763</v>
      </c>
      <c r="Y22" s="248"/>
    </row>
    <row r="23" spans="2:25" ht="12.75" customHeight="1">
      <c r="B23" s="64" t="s">
        <v>249</v>
      </c>
      <c r="C23" s="79">
        <v>24.86</v>
      </c>
      <c r="D23" s="79">
        <v>13.88</v>
      </c>
      <c r="E23" s="79">
        <v>17</v>
      </c>
      <c r="F23" s="79">
        <v>15.419999999999998</v>
      </c>
      <c r="G23" s="79">
        <v>22.130000000000003</v>
      </c>
      <c r="H23" s="79">
        <v>17.25</v>
      </c>
      <c r="I23" s="79">
        <v>26.639999999999997</v>
      </c>
      <c r="J23" s="79">
        <v>31.689999999999998</v>
      </c>
      <c r="K23" s="79">
        <v>42.980000000000004</v>
      </c>
      <c r="L23" s="79">
        <v>9.120000000000001</v>
      </c>
      <c r="M23" s="79"/>
      <c r="N23" s="45"/>
      <c r="O23" s="248"/>
      <c r="P23" s="300">
        <f t="shared" si="2"/>
        <v>0.026000825423029283</v>
      </c>
      <c r="Q23" s="300">
        <f t="shared" si="2"/>
        <v>-0.2206625491297023</v>
      </c>
      <c r="R23" s="300">
        <f t="shared" si="2"/>
        <v>-0.011627906976744096</v>
      </c>
      <c r="S23" s="300">
        <f t="shared" si="2"/>
        <v>0.12308812818645287</v>
      </c>
      <c r="T23" s="300">
        <f t="shared" si="2"/>
        <v>0.30791962174940934</v>
      </c>
      <c r="U23" s="300">
        <f t="shared" si="2"/>
        <v>0.16475354490209337</v>
      </c>
      <c r="V23" s="300">
        <f t="shared" si="2"/>
        <v>0.17771883289124668</v>
      </c>
      <c r="W23" s="300">
        <f t="shared" si="2"/>
        <v>0.44045454545454543</v>
      </c>
      <c r="X23" s="300">
        <f t="shared" si="2"/>
        <v>0.294578313253012</v>
      </c>
      <c r="Y23" s="248"/>
    </row>
    <row r="24" spans="2:12" ht="12.75">
      <c r="B24" s="374" t="s">
        <v>239</v>
      </c>
      <c r="C24" s="375"/>
      <c r="D24" s="375"/>
      <c r="E24" s="375"/>
      <c r="F24" s="375"/>
      <c r="G24" s="375"/>
      <c r="H24" s="375"/>
      <c r="I24" s="375"/>
      <c r="J24" s="375"/>
      <c r="K24" s="375"/>
      <c r="L24" s="375"/>
    </row>
    <row r="25" spans="2:11" ht="12.75" customHeight="1">
      <c r="B25" s="244"/>
      <c r="C25" s="245"/>
      <c r="D25" s="245"/>
      <c r="E25" s="245"/>
      <c r="F25" s="245"/>
      <c r="G25" s="245"/>
      <c r="H25" s="46"/>
      <c r="I25" s="46"/>
      <c r="J25" s="46"/>
      <c r="K25" s="46"/>
    </row>
    <row r="26" spans="2:11" ht="12.75">
      <c r="B26" s="2"/>
      <c r="C26" s="2"/>
      <c r="D26" s="2"/>
      <c r="E26" s="2"/>
      <c r="F26" s="2"/>
      <c r="G26" s="2"/>
      <c r="H26" s="2"/>
      <c r="I26" s="2"/>
      <c r="J26" s="2"/>
      <c r="K26" s="2"/>
    </row>
    <row r="31" ht="12.75">
      <c r="P31" s="303"/>
    </row>
    <row r="46" ht="12.75">
      <c r="N46" s="2"/>
    </row>
    <row r="47" ht="12.75">
      <c r="B47" s="231" t="s">
        <v>240</v>
      </c>
    </row>
    <row r="50" spans="3:12" ht="12.75">
      <c r="C50" s="133"/>
      <c r="D50" s="133"/>
      <c r="E50" s="133"/>
      <c r="F50" s="133"/>
      <c r="G50" s="133"/>
      <c r="H50" s="133"/>
      <c r="I50" s="133"/>
      <c r="J50" s="133"/>
      <c r="K50" s="133"/>
      <c r="L50" s="133"/>
    </row>
    <row r="51" spans="3:12" ht="12.75">
      <c r="C51" s="79"/>
      <c r="D51" s="79"/>
      <c r="E51" s="79"/>
      <c r="F51" s="79"/>
      <c r="G51" s="79"/>
      <c r="H51" s="79"/>
      <c r="I51" s="79"/>
      <c r="J51" s="79"/>
      <c r="K51" s="79"/>
      <c r="L51" s="79"/>
    </row>
  </sheetData>
  <sheetProtection/>
  <mergeCells count="5">
    <mergeCell ref="B6:B7"/>
    <mergeCell ref="B3:L3"/>
    <mergeCell ref="B2:L2"/>
    <mergeCell ref="B4:L4"/>
    <mergeCell ref="B24:L24"/>
  </mergeCells>
  <hyperlinks>
    <hyperlink ref="N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22" scale="8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80" workbookViewId="0" topLeftCell="A1">
      <selection activeCell="A1" sqref="A1"/>
    </sheetView>
  </sheetViews>
  <sheetFormatPr defaultColWidth="10.8515625" defaultRowHeight="15"/>
  <cols>
    <col min="1" max="1" width="1.1484375" style="34" customWidth="1"/>
    <col min="2" max="2" width="41.00390625" style="34" customWidth="1"/>
    <col min="3" max="3" width="26.28125" style="34" customWidth="1"/>
    <col min="4" max="4" width="26.140625" style="34" customWidth="1"/>
    <col min="5" max="5" width="22.28125" style="34" customWidth="1"/>
    <col min="6" max="6" width="4.00390625" style="34" customWidth="1"/>
    <col min="7" max="7" width="14.421875" style="34" customWidth="1"/>
    <col min="8" max="16384" width="10.8515625" style="34" customWidth="1"/>
  </cols>
  <sheetData>
    <row r="1" ht="6.75" customHeight="1"/>
    <row r="2" spans="2:7" ht="12.75">
      <c r="B2" s="386" t="s">
        <v>222</v>
      </c>
      <c r="C2" s="386"/>
      <c r="D2" s="386"/>
      <c r="E2" s="386"/>
      <c r="G2" s="44" t="s">
        <v>147</v>
      </c>
    </row>
    <row r="3" spans="2:7" ht="12.75">
      <c r="B3" s="386" t="s">
        <v>223</v>
      </c>
      <c r="C3" s="386"/>
      <c r="D3" s="386"/>
      <c r="E3" s="386"/>
      <c r="G3" s="44"/>
    </row>
    <row r="4" spans="2:5" ht="12.75">
      <c r="B4" s="386" t="s">
        <v>272</v>
      </c>
      <c r="C4" s="386"/>
      <c r="D4" s="386"/>
      <c r="E4" s="386"/>
    </row>
    <row r="6" spans="3:5" ht="38.25">
      <c r="C6" s="172" t="s">
        <v>204</v>
      </c>
      <c r="D6" s="172" t="s">
        <v>270</v>
      </c>
      <c r="E6" s="172" t="s">
        <v>271</v>
      </c>
    </row>
    <row r="7" spans="2:5" ht="12.75">
      <c r="B7" s="173" t="s">
        <v>150</v>
      </c>
      <c r="C7" s="174">
        <v>26</v>
      </c>
      <c r="D7" s="174">
        <v>30</v>
      </c>
      <c r="E7" s="174">
        <v>30</v>
      </c>
    </row>
    <row r="8" spans="2:5" ht="12.75">
      <c r="B8" s="173" t="s">
        <v>192</v>
      </c>
      <c r="C8" s="175">
        <v>998000</v>
      </c>
      <c r="D8" s="175">
        <v>648000</v>
      </c>
      <c r="E8" s="175">
        <v>1538000</v>
      </c>
    </row>
    <row r="9" spans="2:5" ht="12.75">
      <c r="B9" s="173" t="s">
        <v>193</v>
      </c>
      <c r="C9" s="175">
        <v>612000</v>
      </c>
      <c r="D9" s="175">
        <v>651000</v>
      </c>
      <c r="E9" s="175">
        <v>622000</v>
      </c>
    </row>
    <row r="10" spans="2:5" ht="12.75">
      <c r="B10" s="173" t="s">
        <v>194</v>
      </c>
      <c r="C10" s="175">
        <v>1718582</v>
      </c>
      <c r="D10" s="175">
        <v>2349219</v>
      </c>
      <c r="E10" s="175">
        <v>1816105</v>
      </c>
    </row>
    <row r="11" spans="2:5" ht="14.25">
      <c r="B11" s="176" t="s">
        <v>254</v>
      </c>
      <c r="C11" s="175">
        <f>124821.825+166429.1</f>
        <v>291250.925</v>
      </c>
      <c r="D11" s="175">
        <v>346581</v>
      </c>
      <c r="E11" s="175">
        <f>198805+178925</f>
        <v>377730</v>
      </c>
    </row>
    <row r="12" spans="2:5" ht="12.75">
      <c r="B12" s="177" t="s">
        <v>195</v>
      </c>
      <c r="C12" s="178">
        <f>SUM(C8:C11)</f>
        <v>3619832.925</v>
      </c>
      <c r="D12" s="178">
        <f>SUM(D8:D11)</f>
        <v>3994800</v>
      </c>
      <c r="E12" s="178">
        <f>SUM(E8:E11)</f>
        <v>4353835</v>
      </c>
    </row>
    <row r="13" spans="2:5" ht="14.25">
      <c r="B13" s="173" t="s">
        <v>208</v>
      </c>
      <c r="C13" s="307">
        <f>+AVERAGE('precio mayorista3'!U37:V37)/25</f>
        <v>294.2456339473684</v>
      </c>
      <c r="D13" s="194">
        <f>+AVERAGE('precio mayorista3'!X37:Y37)/25</f>
        <v>242.09101776315794</v>
      </c>
      <c r="E13" s="194">
        <f>+AVERAGE('precio mayorista3'!U37:V37)/25</f>
        <v>294.2456339473684</v>
      </c>
    </row>
    <row r="14" spans="2:5" ht="12.75">
      <c r="B14" s="179" t="s">
        <v>196</v>
      </c>
      <c r="C14" s="178">
        <f>C13*C7*1000</f>
        <v>7650386.482631578</v>
      </c>
      <c r="D14" s="178">
        <f>D13*D7*1000</f>
        <v>7262730.532894738</v>
      </c>
      <c r="E14" s="178">
        <f>E13*E7*1000</f>
        <v>8827369.018421052</v>
      </c>
    </row>
    <row r="15" spans="2:5" ht="12.75">
      <c r="B15" s="179" t="s">
        <v>197</v>
      </c>
      <c r="C15" s="295">
        <f>C14-C12</f>
        <v>4030553.5576315783</v>
      </c>
      <c r="D15" s="295">
        <f>D14-D12</f>
        <v>3267930.532894738</v>
      </c>
      <c r="E15" s="295">
        <f>E14-E12</f>
        <v>4473534.018421052</v>
      </c>
    </row>
    <row r="16" spans="2:5" ht="12.75">
      <c r="B16" s="180"/>
      <c r="C16" s="181"/>
      <c r="D16" s="181"/>
      <c r="E16" s="181"/>
    </row>
    <row r="17" spans="2:5" ht="26.25" customHeight="1">
      <c r="B17" s="383" t="s">
        <v>205</v>
      </c>
      <c r="C17" s="384"/>
      <c r="D17" s="384"/>
      <c r="E17" s="385"/>
    </row>
    <row r="18" spans="2:5" ht="12.75">
      <c r="B18" s="381" t="s">
        <v>198</v>
      </c>
      <c r="C18" s="387" t="s">
        <v>224</v>
      </c>
      <c r="D18" s="388"/>
      <c r="E18" s="389"/>
    </row>
    <row r="19" spans="2:5" ht="12.75">
      <c r="B19" s="382"/>
      <c r="C19" s="218">
        <v>150</v>
      </c>
      <c r="D19" s="218">
        <v>200</v>
      </c>
      <c r="E19" s="218">
        <v>250</v>
      </c>
    </row>
    <row r="20" spans="2:5" ht="12.75">
      <c r="B20" s="182">
        <v>25000</v>
      </c>
      <c r="C20" s="250">
        <f aca="true" t="shared" si="0" ref="C20:E22">+$B20*C$19-$C$12</f>
        <v>130167.07500000019</v>
      </c>
      <c r="D20" s="250">
        <f t="shared" si="0"/>
        <v>1380167.0750000002</v>
      </c>
      <c r="E20" s="250">
        <f t="shared" si="0"/>
        <v>2630167.075</v>
      </c>
    </row>
    <row r="21" spans="2:5" ht="12.75">
      <c r="B21" s="182">
        <v>30000</v>
      </c>
      <c r="C21" s="250">
        <f t="shared" si="0"/>
        <v>880167.0750000002</v>
      </c>
      <c r="D21" s="250">
        <f t="shared" si="0"/>
        <v>2380167.075</v>
      </c>
      <c r="E21" s="250">
        <f t="shared" si="0"/>
        <v>3880167.075</v>
      </c>
    </row>
    <row r="22" spans="2:5" ht="12.75">
      <c r="B22" s="182">
        <v>35000</v>
      </c>
      <c r="C22" s="250">
        <f t="shared" si="0"/>
        <v>1630167.0750000002</v>
      </c>
      <c r="D22" s="250">
        <f t="shared" si="0"/>
        <v>3380167.075</v>
      </c>
      <c r="E22" s="250">
        <f t="shared" si="0"/>
        <v>5130167.075</v>
      </c>
    </row>
    <row r="23" spans="2:5" ht="12.75">
      <c r="B23" s="185"/>
      <c r="C23" s="251"/>
      <c r="D23" s="251"/>
      <c r="E23" s="251"/>
    </row>
    <row r="24" spans="2:5" ht="15" customHeight="1">
      <c r="B24" s="383" t="s">
        <v>211</v>
      </c>
      <c r="C24" s="384"/>
      <c r="D24" s="384"/>
      <c r="E24" s="385"/>
    </row>
    <row r="25" spans="2:5" ht="12.75">
      <c r="B25" s="216" t="s">
        <v>207</v>
      </c>
      <c r="C25" s="217">
        <f>+B20</f>
        <v>25000</v>
      </c>
      <c r="D25" s="217">
        <f>+B21</f>
        <v>30000</v>
      </c>
      <c r="E25" s="217">
        <f>+B22</f>
        <v>35000</v>
      </c>
    </row>
    <row r="26" spans="2:5" ht="12.75">
      <c r="B26" s="187" t="s">
        <v>210</v>
      </c>
      <c r="C26" s="186">
        <f>+$C12/C25</f>
        <v>144.793317</v>
      </c>
      <c r="D26" s="186">
        <f>+$C12/D25</f>
        <v>120.6610975</v>
      </c>
      <c r="E26" s="186">
        <f>+$C12/E25</f>
        <v>103.42379785714286</v>
      </c>
    </row>
    <row r="27" spans="2:5" ht="12.75">
      <c r="B27" s="183" t="s">
        <v>206</v>
      </c>
      <c r="C27" s="183"/>
      <c r="D27" s="183"/>
      <c r="E27" s="183"/>
    </row>
    <row r="28" spans="2:5" ht="12.75">
      <c r="B28" s="184" t="s">
        <v>199</v>
      </c>
      <c r="C28" s="184"/>
      <c r="D28" s="184"/>
      <c r="E28" s="184"/>
    </row>
    <row r="29" spans="2:5" ht="12.75">
      <c r="B29" s="390" t="s">
        <v>215</v>
      </c>
      <c r="C29" s="390"/>
      <c r="D29" s="390"/>
      <c r="E29" s="390"/>
    </row>
    <row r="30" spans="2:5" ht="26.25" customHeight="1">
      <c r="B30" s="391" t="s">
        <v>234</v>
      </c>
      <c r="C30" s="391"/>
      <c r="D30" s="391"/>
      <c r="E30" s="391"/>
    </row>
    <row r="31" spans="2:5" ht="12.75">
      <c r="B31" s="390" t="s">
        <v>278</v>
      </c>
      <c r="C31" s="390"/>
      <c r="D31" s="390"/>
      <c r="E31" s="390"/>
    </row>
    <row r="32" spans="2:5" ht="12.75">
      <c r="B32" s="390" t="s">
        <v>216</v>
      </c>
      <c r="C32" s="390"/>
      <c r="D32" s="390"/>
      <c r="E32" s="390"/>
    </row>
    <row r="33" spans="2:5" ht="12.75">
      <c r="B33" s="390" t="s">
        <v>200</v>
      </c>
      <c r="C33" s="390"/>
      <c r="D33" s="390"/>
      <c r="E33" s="390"/>
    </row>
    <row r="34" spans="2:5" ht="12.75">
      <c r="B34" s="390" t="s">
        <v>209</v>
      </c>
      <c r="C34" s="390"/>
      <c r="D34" s="390"/>
      <c r="E34" s="390"/>
    </row>
  </sheetData>
  <sheetProtection/>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22"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R44"/>
  <sheetViews>
    <sheetView zoomScale="80" zoomScaleNormal="80" zoomScalePageLayoutView="0" workbookViewId="0" topLeftCell="A1">
      <selection activeCell="A1" sqref="A1"/>
    </sheetView>
  </sheetViews>
  <sheetFormatPr defaultColWidth="10.8515625" defaultRowHeight="15"/>
  <cols>
    <col min="1" max="1" width="1.421875" style="34" customWidth="1"/>
    <col min="2" max="2" width="13.00390625" style="34" customWidth="1"/>
    <col min="3" max="3" width="23.00390625" style="34" customWidth="1"/>
    <col min="4" max="4" width="9.8515625" style="34" bestFit="1" customWidth="1"/>
    <col min="5" max="5" width="10.421875" style="34" customWidth="1"/>
    <col min="6" max="6" width="11.57421875" style="34" customWidth="1"/>
    <col min="7" max="7" width="10.421875" style="34" customWidth="1"/>
    <col min="8" max="9" width="11.28125" style="34" customWidth="1"/>
    <col min="10" max="10" width="11.00390625" style="34" customWidth="1"/>
    <col min="11" max="11" width="10.00390625" style="34" customWidth="1"/>
    <col min="12" max="12" width="2.140625" style="34" customWidth="1"/>
    <col min="13" max="13" width="10.8515625" style="139" customWidth="1"/>
    <col min="14" max="14" width="5.8515625" style="139" customWidth="1"/>
    <col min="15" max="16" width="9.8515625" style="308" hidden="1" customWidth="1"/>
    <col min="17" max="17" width="8.421875" style="308" hidden="1" customWidth="1"/>
    <col min="18" max="18" width="10.8515625" style="139" customWidth="1"/>
    <col min="19" max="16384" width="10.8515625" style="34" customWidth="1"/>
  </cols>
  <sheetData>
    <row r="2" spans="2:14" ht="12.75">
      <c r="B2" s="393" t="s">
        <v>201</v>
      </c>
      <c r="C2" s="393"/>
      <c r="D2" s="393"/>
      <c r="E2" s="393"/>
      <c r="F2" s="393"/>
      <c r="G2" s="393"/>
      <c r="H2" s="393"/>
      <c r="I2" s="393"/>
      <c r="J2" s="393"/>
      <c r="K2" s="393"/>
      <c r="L2" s="104"/>
      <c r="M2" s="299" t="s">
        <v>147</v>
      </c>
      <c r="N2" s="141"/>
    </row>
    <row r="3" spans="2:14" ht="12.75">
      <c r="B3" s="104"/>
      <c r="C3" s="104"/>
      <c r="D3" s="104"/>
      <c r="E3" s="104"/>
      <c r="F3" s="104"/>
      <c r="G3" s="104"/>
      <c r="H3" s="104"/>
      <c r="I3" s="104"/>
      <c r="J3" s="104"/>
      <c r="K3" s="104"/>
      <c r="L3" s="104"/>
      <c r="M3" s="141"/>
      <c r="N3" s="141"/>
    </row>
    <row r="4" spans="2:12" ht="12.75">
      <c r="B4" s="397" t="s">
        <v>69</v>
      </c>
      <c r="C4" s="399" t="s">
        <v>70</v>
      </c>
      <c r="D4" s="394" t="s">
        <v>71</v>
      </c>
      <c r="E4" s="395"/>
      <c r="F4" s="395"/>
      <c r="G4" s="396"/>
      <c r="H4" s="394" t="s">
        <v>72</v>
      </c>
      <c r="I4" s="395"/>
      <c r="J4" s="395"/>
      <c r="K4" s="396"/>
      <c r="L4" s="104"/>
    </row>
    <row r="5" spans="2:17" ht="31.5" customHeight="1">
      <c r="B5" s="398"/>
      <c r="C5" s="400"/>
      <c r="D5" s="195" t="s">
        <v>241</v>
      </c>
      <c r="E5" s="196" t="s">
        <v>279</v>
      </c>
      <c r="F5" s="196" t="s">
        <v>280</v>
      </c>
      <c r="G5" s="197" t="s">
        <v>257</v>
      </c>
      <c r="H5" s="195" t="str">
        <f>+D5</f>
        <v>2016</v>
      </c>
      <c r="I5" s="198" t="str">
        <f>+E5</f>
        <v>ene-dic 2016</v>
      </c>
      <c r="J5" s="198" t="str">
        <f>+F5</f>
        <v>ene-dic 2017</v>
      </c>
      <c r="K5" s="199" t="str">
        <f>+G5</f>
        <v>variación (%)</v>
      </c>
      <c r="L5" s="105"/>
      <c r="M5" s="157"/>
      <c r="N5" s="157"/>
      <c r="O5" s="309" t="s">
        <v>242</v>
      </c>
      <c r="P5" s="309" t="s">
        <v>243</v>
      </c>
      <c r="Q5" s="321" t="s">
        <v>244</v>
      </c>
    </row>
    <row r="6" spans="2:17" ht="12.75">
      <c r="B6" s="392" t="s">
        <v>89</v>
      </c>
      <c r="C6" s="291" t="s">
        <v>77</v>
      </c>
      <c r="D6" s="287">
        <v>528974.6</v>
      </c>
      <c r="E6" s="288">
        <v>528974.6</v>
      </c>
      <c r="F6" s="288">
        <v>1171608.53</v>
      </c>
      <c r="G6" s="289">
        <v>121.4867273400273</v>
      </c>
      <c r="H6" s="288">
        <v>3238323.51</v>
      </c>
      <c r="I6" s="288">
        <v>3238323.51</v>
      </c>
      <c r="J6" s="288">
        <v>6519414.26</v>
      </c>
      <c r="K6" s="289">
        <v>101.32065989910934</v>
      </c>
      <c r="L6" s="106"/>
      <c r="O6" s="310">
        <f>+F6-E6</f>
        <v>642633.93</v>
      </c>
      <c r="P6" s="310">
        <f>+J6-I6</f>
        <v>3281090.75</v>
      </c>
      <c r="Q6" s="311">
        <f>+IF(F6=0,0,J6/F6)</f>
        <v>5.564498800636079</v>
      </c>
    </row>
    <row r="7" spans="2:17" ht="12.75">
      <c r="B7" s="392"/>
      <c r="C7" s="291" t="s">
        <v>90</v>
      </c>
      <c r="D7" s="287">
        <v>95337.14</v>
      </c>
      <c r="E7" s="288">
        <v>95337.14</v>
      </c>
      <c r="F7" s="288">
        <v>86229.1</v>
      </c>
      <c r="G7" s="289">
        <v>-9.553506639699904</v>
      </c>
      <c r="H7" s="288">
        <v>348252.63</v>
      </c>
      <c r="I7" s="288">
        <v>348252.63</v>
      </c>
      <c r="J7" s="288">
        <v>360492.34</v>
      </c>
      <c r="K7" s="289">
        <v>3.5146066233584516</v>
      </c>
      <c r="L7" s="106"/>
      <c r="O7" s="310">
        <f aca="true" t="shared" si="0" ref="O7:O43">+F7-E7</f>
        <v>-9108.039999999994</v>
      </c>
      <c r="P7" s="310">
        <f aca="true" t="shared" si="1" ref="P7:P43">+J7-I7</f>
        <v>12239.710000000021</v>
      </c>
      <c r="Q7" s="311">
        <f aca="true" t="shared" si="2" ref="Q7:Q43">+IF(F7=0,0,J7/F7)</f>
        <v>4.1806343798091365</v>
      </c>
    </row>
    <row r="8" spans="2:17" ht="12.75">
      <c r="B8" s="392"/>
      <c r="C8" s="291" t="s">
        <v>88</v>
      </c>
      <c r="D8" s="287">
        <v>17916.32</v>
      </c>
      <c r="E8" s="288">
        <v>17916.32</v>
      </c>
      <c r="F8" s="288">
        <v>15248.12</v>
      </c>
      <c r="G8" s="289">
        <v>-14.892567223626274</v>
      </c>
      <c r="H8" s="288">
        <v>117060.66</v>
      </c>
      <c r="I8" s="288">
        <v>117060.66</v>
      </c>
      <c r="J8" s="288">
        <v>97619.7</v>
      </c>
      <c r="K8" s="289">
        <v>-16.607594729091744</v>
      </c>
      <c r="L8" s="106"/>
      <c r="O8" s="310">
        <f t="shared" si="0"/>
        <v>-2668.199999999999</v>
      </c>
      <c r="P8" s="310">
        <f t="shared" si="1"/>
        <v>-19440.960000000006</v>
      </c>
      <c r="Q8" s="311">
        <f t="shared" si="2"/>
        <v>6.402081043433551</v>
      </c>
    </row>
    <row r="9" spans="2:17" ht="12.75">
      <c r="B9" s="392"/>
      <c r="C9" s="291" t="s">
        <v>75</v>
      </c>
      <c r="D9" s="287">
        <v>13053.04</v>
      </c>
      <c r="E9" s="288">
        <v>13053.04</v>
      </c>
      <c r="F9" s="288">
        <v>5625.2</v>
      </c>
      <c r="G9" s="289">
        <v>-56.905058132052</v>
      </c>
      <c r="H9" s="288">
        <v>106789.83</v>
      </c>
      <c r="I9" s="288">
        <v>106789.83</v>
      </c>
      <c r="J9" s="288">
        <v>50530.9</v>
      </c>
      <c r="K9" s="289">
        <v>-52.68191736984692</v>
      </c>
      <c r="L9" s="106"/>
      <c r="O9" s="310">
        <f t="shared" si="0"/>
        <v>-7427.840000000001</v>
      </c>
      <c r="P9" s="310">
        <f t="shared" si="1"/>
        <v>-56258.93</v>
      </c>
      <c r="Q9" s="311">
        <f t="shared" si="2"/>
        <v>8.982951717272275</v>
      </c>
    </row>
    <row r="10" spans="2:17" ht="12.75">
      <c r="B10" s="392"/>
      <c r="C10" s="291" t="s">
        <v>124</v>
      </c>
      <c r="D10" s="287">
        <v>12506.88</v>
      </c>
      <c r="E10" s="288">
        <v>12506.88</v>
      </c>
      <c r="F10" s="288">
        <v>4466.66</v>
      </c>
      <c r="G10" s="289">
        <v>-64.28637677822127</v>
      </c>
      <c r="H10" s="288">
        <v>30755.9</v>
      </c>
      <c r="I10" s="288">
        <v>30755.9</v>
      </c>
      <c r="J10" s="288">
        <v>17271.4</v>
      </c>
      <c r="K10" s="289">
        <v>-43.84362024847265</v>
      </c>
      <c r="L10" s="106"/>
      <c r="O10" s="310">
        <f t="shared" si="0"/>
        <v>-8040.219999999999</v>
      </c>
      <c r="P10" s="310">
        <f t="shared" si="1"/>
        <v>-13484.5</v>
      </c>
      <c r="Q10" s="311">
        <f t="shared" si="2"/>
        <v>3.866737114533007</v>
      </c>
    </row>
    <row r="11" spans="2:17" ht="12.75">
      <c r="B11" s="392"/>
      <c r="C11" s="291" t="s">
        <v>118</v>
      </c>
      <c r="D11" s="287">
        <v>205.6</v>
      </c>
      <c r="E11" s="288">
        <v>205.6</v>
      </c>
      <c r="F11" s="288">
        <v>0</v>
      </c>
      <c r="G11" s="289">
        <v>-100</v>
      </c>
      <c r="H11" s="288">
        <v>2159.7</v>
      </c>
      <c r="I11" s="288">
        <v>2159.7</v>
      </c>
      <c r="J11" s="288">
        <v>0</v>
      </c>
      <c r="K11" s="289">
        <v>-100</v>
      </c>
      <c r="L11" s="106"/>
      <c r="O11" s="310">
        <f t="shared" si="0"/>
        <v>-205.6</v>
      </c>
      <c r="P11" s="310">
        <f t="shared" si="1"/>
        <v>-2159.7</v>
      </c>
      <c r="Q11" s="311">
        <f t="shared" si="2"/>
        <v>0</v>
      </c>
    </row>
    <row r="12" spans="2:17" ht="12.75">
      <c r="B12" s="392"/>
      <c r="C12" s="291" t="s">
        <v>85</v>
      </c>
      <c r="D12" s="287">
        <v>121.52</v>
      </c>
      <c r="E12" s="288">
        <v>121.52</v>
      </c>
      <c r="F12" s="288">
        <v>0</v>
      </c>
      <c r="G12" s="289">
        <v>-100</v>
      </c>
      <c r="H12" s="288">
        <v>851.16</v>
      </c>
      <c r="I12" s="288">
        <v>851.16</v>
      </c>
      <c r="J12" s="288">
        <v>0</v>
      </c>
      <c r="K12" s="289">
        <v>-100</v>
      </c>
      <c r="L12" s="106"/>
      <c r="O12" s="310">
        <f t="shared" si="0"/>
        <v>-121.52</v>
      </c>
      <c r="P12" s="310">
        <f t="shared" si="1"/>
        <v>-851.16</v>
      </c>
      <c r="Q12" s="311">
        <f t="shared" si="2"/>
        <v>0</v>
      </c>
    </row>
    <row r="13" spans="2:17" ht="12.75">
      <c r="B13" s="392"/>
      <c r="C13" s="291" t="s">
        <v>74</v>
      </c>
      <c r="D13" s="287">
        <v>137.3</v>
      </c>
      <c r="E13" s="288">
        <v>137.3</v>
      </c>
      <c r="F13" s="288">
        <v>0</v>
      </c>
      <c r="G13" s="289">
        <v>-100</v>
      </c>
      <c r="H13" s="288">
        <v>846.56</v>
      </c>
      <c r="I13" s="288">
        <v>846.56</v>
      </c>
      <c r="J13" s="288">
        <v>0</v>
      </c>
      <c r="K13" s="289">
        <v>-100</v>
      </c>
      <c r="L13" s="106"/>
      <c r="O13" s="310">
        <f t="shared" si="0"/>
        <v>-137.3</v>
      </c>
      <c r="P13" s="310">
        <f t="shared" si="1"/>
        <v>-846.56</v>
      </c>
      <c r="Q13" s="311">
        <f t="shared" si="2"/>
        <v>0</v>
      </c>
    </row>
    <row r="14" spans="2:17" ht="12.75">
      <c r="B14" s="392"/>
      <c r="C14" s="291" t="s">
        <v>78</v>
      </c>
      <c r="D14" s="287">
        <v>600</v>
      </c>
      <c r="E14" s="288">
        <v>600</v>
      </c>
      <c r="F14" s="288">
        <v>138</v>
      </c>
      <c r="G14" s="289">
        <v>-77</v>
      </c>
      <c r="H14" s="288">
        <v>700</v>
      </c>
      <c r="I14" s="288">
        <v>700</v>
      </c>
      <c r="J14" s="288">
        <v>184</v>
      </c>
      <c r="K14" s="289">
        <v>-73.71428571428571</v>
      </c>
      <c r="L14" s="107"/>
      <c r="O14" s="310">
        <f t="shared" si="0"/>
        <v>-462</v>
      </c>
      <c r="P14" s="310">
        <f t="shared" si="1"/>
        <v>-516</v>
      </c>
      <c r="Q14" s="311">
        <f t="shared" si="2"/>
        <v>1.3333333333333333</v>
      </c>
    </row>
    <row r="15" spans="2:17" ht="12.75">
      <c r="B15" s="392"/>
      <c r="C15" s="291" t="s">
        <v>176</v>
      </c>
      <c r="D15" s="287">
        <v>98</v>
      </c>
      <c r="E15" s="288">
        <v>98</v>
      </c>
      <c r="F15" s="288">
        <v>0</v>
      </c>
      <c r="G15" s="289">
        <v>-100</v>
      </c>
      <c r="H15" s="288">
        <v>687</v>
      </c>
      <c r="I15" s="288">
        <v>687</v>
      </c>
      <c r="J15" s="288">
        <v>0</v>
      </c>
      <c r="K15" s="289">
        <v>-100</v>
      </c>
      <c r="L15" s="106"/>
      <c r="O15" s="310">
        <f t="shared" si="0"/>
        <v>-98</v>
      </c>
      <c r="P15" s="310">
        <f t="shared" si="1"/>
        <v>-687</v>
      </c>
      <c r="Q15" s="311">
        <f t="shared" si="2"/>
        <v>0</v>
      </c>
    </row>
    <row r="16" spans="2:17" ht="12.75">
      <c r="B16" s="392"/>
      <c r="C16" s="291" t="s">
        <v>82</v>
      </c>
      <c r="D16" s="287">
        <v>373.5</v>
      </c>
      <c r="E16" s="288">
        <v>373.5</v>
      </c>
      <c r="F16" s="288">
        <v>0</v>
      </c>
      <c r="G16" s="289">
        <v>-100</v>
      </c>
      <c r="H16" s="288">
        <v>536.5</v>
      </c>
      <c r="I16" s="288">
        <v>536.5</v>
      </c>
      <c r="J16" s="288">
        <v>0</v>
      </c>
      <c r="K16" s="289">
        <v>-100</v>
      </c>
      <c r="L16" s="106"/>
      <c r="O16" s="310">
        <f t="shared" si="0"/>
        <v>-373.5</v>
      </c>
      <c r="P16" s="310">
        <f t="shared" si="1"/>
        <v>-536.5</v>
      </c>
      <c r="Q16" s="311">
        <f t="shared" si="2"/>
        <v>0</v>
      </c>
    </row>
    <row r="17" spans="2:18" s="204" customFormat="1" ht="12.75">
      <c r="B17" s="392"/>
      <c r="C17" s="291" t="s">
        <v>172</v>
      </c>
      <c r="D17" s="287">
        <v>50</v>
      </c>
      <c r="E17" s="288">
        <v>50</v>
      </c>
      <c r="F17" s="288">
        <v>0</v>
      </c>
      <c r="G17" s="289">
        <v>-100</v>
      </c>
      <c r="H17" s="288">
        <v>242</v>
      </c>
      <c r="I17" s="288">
        <v>242</v>
      </c>
      <c r="J17" s="288">
        <v>0</v>
      </c>
      <c r="K17" s="289">
        <v>-100</v>
      </c>
      <c r="L17" s="212"/>
      <c r="M17" s="139"/>
      <c r="N17" s="139"/>
      <c r="O17" s="310">
        <f t="shared" si="0"/>
        <v>-50</v>
      </c>
      <c r="P17" s="310">
        <f t="shared" si="1"/>
        <v>-242</v>
      </c>
      <c r="Q17" s="311">
        <f t="shared" si="2"/>
        <v>0</v>
      </c>
      <c r="R17" s="139"/>
    </row>
    <row r="18" spans="2:18" s="204" customFormat="1" ht="12.75">
      <c r="B18" s="392"/>
      <c r="C18" s="291" t="s">
        <v>233</v>
      </c>
      <c r="D18" s="287">
        <v>12.6</v>
      </c>
      <c r="E18" s="288">
        <v>12.6</v>
      </c>
      <c r="F18" s="288">
        <v>0</v>
      </c>
      <c r="G18" s="289">
        <v>-100</v>
      </c>
      <c r="H18" s="288">
        <v>35.35</v>
      </c>
      <c r="I18" s="288">
        <v>35.35</v>
      </c>
      <c r="J18" s="288">
        <v>0</v>
      </c>
      <c r="K18" s="289">
        <v>-100</v>
      </c>
      <c r="L18" s="212"/>
      <c r="M18" s="139"/>
      <c r="N18" s="139"/>
      <c r="O18" s="310">
        <f t="shared" si="0"/>
        <v>-12.6</v>
      </c>
      <c r="P18" s="310">
        <f t="shared" si="1"/>
        <v>-35.35</v>
      </c>
      <c r="Q18" s="311">
        <f t="shared" si="2"/>
        <v>0</v>
      </c>
      <c r="R18" s="139"/>
    </row>
    <row r="19" spans="2:18" s="204" customFormat="1" ht="12.75">
      <c r="B19" s="392"/>
      <c r="C19" s="291" t="s">
        <v>79</v>
      </c>
      <c r="D19" s="287">
        <v>0</v>
      </c>
      <c r="E19" s="288">
        <v>0</v>
      </c>
      <c r="F19" s="288">
        <v>10693.76</v>
      </c>
      <c r="G19" s="289" t="s">
        <v>143</v>
      </c>
      <c r="H19" s="288">
        <v>0</v>
      </c>
      <c r="I19" s="288">
        <v>0</v>
      </c>
      <c r="J19" s="288">
        <v>69276</v>
      </c>
      <c r="K19" s="289" t="s">
        <v>143</v>
      </c>
      <c r="L19" s="212"/>
      <c r="M19" s="139"/>
      <c r="N19" s="139"/>
      <c r="O19" s="310">
        <f t="shared" si="0"/>
        <v>10693.76</v>
      </c>
      <c r="P19" s="310">
        <f t="shared" si="1"/>
        <v>69276</v>
      </c>
      <c r="Q19" s="311">
        <f t="shared" si="2"/>
        <v>6.478170447064456</v>
      </c>
      <c r="R19" s="139"/>
    </row>
    <row r="20" spans="2:17" ht="12.75">
      <c r="B20" s="213" t="s">
        <v>111</v>
      </c>
      <c r="C20" s="214"/>
      <c r="D20" s="58">
        <v>669386.5</v>
      </c>
      <c r="E20" s="59">
        <v>669386.5</v>
      </c>
      <c r="F20" s="59">
        <v>1294009.37</v>
      </c>
      <c r="G20" s="60">
        <v>93.31273785772495</v>
      </c>
      <c r="H20" s="59">
        <v>3847240.8000000003</v>
      </c>
      <c r="I20" s="59">
        <v>3847240.8000000003</v>
      </c>
      <c r="J20" s="59">
        <v>7114788.600000001</v>
      </c>
      <c r="K20" s="60">
        <v>84.93224026944193</v>
      </c>
      <c r="L20" s="107"/>
      <c r="O20" s="310">
        <f t="shared" si="0"/>
        <v>624622.8700000001</v>
      </c>
      <c r="P20" s="310">
        <f t="shared" si="1"/>
        <v>3267547.8000000003</v>
      </c>
      <c r="Q20" s="311">
        <f t="shared" si="2"/>
        <v>5.498251222091228</v>
      </c>
    </row>
    <row r="21" spans="2:17" ht="12.75">
      <c r="B21" s="401" t="s">
        <v>129</v>
      </c>
      <c r="C21" s="291" t="s">
        <v>74</v>
      </c>
      <c r="D21" s="287">
        <v>1150000</v>
      </c>
      <c r="E21" s="288">
        <v>1150000</v>
      </c>
      <c r="F21" s="288">
        <v>475000</v>
      </c>
      <c r="G21" s="289">
        <v>-58.69565217391304</v>
      </c>
      <c r="H21" s="288">
        <v>1211900</v>
      </c>
      <c r="I21" s="288">
        <v>1211900</v>
      </c>
      <c r="J21" s="288">
        <v>423150.5</v>
      </c>
      <c r="K21" s="289">
        <v>-65.08371152735376</v>
      </c>
      <c r="L21" s="106"/>
      <c r="O21" s="310">
        <f t="shared" si="0"/>
        <v>-675000</v>
      </c>
      <c r="P21" s="310">
        <f t="shared" si="1"/>
        <v>-788749.5</v>
      </c>
      <c r="Q21" s="311">
        <f t="shared" si="2"/>
        <v>0.8908431578947369</v>
      </c>
    </row>
    <row r="22" spans="2:17" ht="12.75">
      <c r="B22" s="401"/>
      <c r="C22" s="291" t="s">
        <v>80</v>
      </c>
      <c r="D22" s="41">
        <v>240000</v>
      </c>
      <c r="E22" s="42">
        <v>240000</v>
      </c>
      <c r="F22" s="42">
        <v>240000</v>
      </c>
      <c r="G22" s="43">
        <v>0</v>
      </c>
      <c r="H22" s="42">
        <v>268800</v>
      </c>
      <c r="I22" s="42">
        <v>268800</v>
      </c>
      <c r="J22" s="42">
        <v>261600</v>
      </c>
      <c r="K22" s="43">
        <v>-2.67857142857143</v>
      </c>
      <c r="L22" s="106"/>
      <c r="O22" s="310">
        <f t="shared" si="0"/>
        <v>0</v>
      </c>
      <c r="P22" s="310">
        <f t="shared" si="1"/>
        <v>-7200</v>
      </c>
      <c r="Q22" s="311">
        <f t="shared" si="2"/>
        <v>1.09</v>
      </c>
    </row>
    <row r="23" spans="2:17" ht="12.75">
      <c r="B23" s="213" t="s">
        <v>130</v>
      </c>
      <c r="C23" s="214"/>
      <c r="D23" s="58">
        <v>1390000</v>
      </c>
      <c r="E23" s="59">
        <v>1390000</v>
      </c>
      <c r="F23" s="59">
        <v>715000</v>
      </c>
      <c r="G23" s="60">
        <v>-48.561151079136685</v>
      </c>
      <c r="H23" s="59">
        <v>1480700</v>
      </c>
      <c r="I23" s="59">
        <v>1480700</v>
      </c>
      <c r="J23" s="59">
        <v>684750.5</v>
      </c>
      <c r="K23" s="60">
        <v>-53.754946984534335</v>
      </c>
      <c r="L23" s="106"/>
      <c r="O23" s="310">
        <f t="shared" si="0"/>
        <v>-675000</v>
      </c>
      <c r="P23" s="310">
        <f t="shared" si="1"/>
        <v>-795949.5</v>
      </c>
      <c r="Q23" s="311">
        <f t="shared" si="2"/>
        <v>0.957693006993007</v>
      </c>
    </row>
    <row r="24" spans="2:17" ht="12.75">
      <c r="B24" s="404" t="s">
        <v>84</v>
      </c>
      <c r="C24" s="291" t="s">
        <v>74</v>
      </c>
      <c r="D24" s="287">
        <v>2219600</v>
      </c>
      <c r="E24" s="288">
        <v>2219600</v>
      </c>
      <c r="F24" s="288">
        <v>1280500</v>
      </c>
      <c r="G24" s="289">
        <v>-42.30942512164354</v>
      </c>
      <c r="H24" s="288">
        <v>961517</v>
      </c>
      <c r="I24" s="288">
        <v>961517</v>
      </c>
      <c r="J24" s="288">
        <v>308865.2</v>
      </c>
      <c r="K24" s="289">
        <v>-67.87730222138558</v>
      </c>
      <c r="L24" s="106"/>
      <c r="O24" s="310">
        <f t="shared" si="0"/>
        <v>-939100</v>
      </c>
      <c r="P24" s="310">
        <f t="shared" si="1"/>
        <v>-652651.8</v>
      </c>
      <c r="Q24" s="311">
        <f t="shared" si="2"/>
        <v>0.2412067161265131</v>
      </c>
    </row>
    <row r="25" spans="2:17" ht="12.75">
      <c r="B25" s="401"/>
      <c r="C25" s="291" t="s">
        <v>77</v>
      </c>
      <c r="D25" s="287">
        <v>252000</v>
      </c>
      <c r="E25" s="288">
        <v>252000</v>
      </c>
      <c r="F25" s="288">
        <v>7443335</v>
      </c>
      <c r="G25" s="289">
        <v>2853.7043650793653</v>
      </c>
      <c r="H25" s="288">
        <v>72100</v>
      </c>
      <c r="I25" s="288">
        <v>72100</v>
      </c>
      <c r="J25" s="288">
        <v>1510215.8</v>
      </c>
      <c r="K25" s="289">
        <v>1994.6127600554785</v>
      </c>
      <c r="L25" s="106"/>
      <c r="O25" s="310">
        <f t="shared" si="0"/>
        <v>7191335</v>
      </c>
      <c r="P25" s="310">
        <f t="shared" si="1"/>
        <v>1438115.8</v>
      </c>
      <c r="Q25" s="311">
        <f t="shared" si="2"/>
        <v>0.20289504637370212</v>
      </c>
    </row>
    <row r="26" spans="2:17" ht="12.75">
      <c r="B26" s="401"/>
      <c r="C26" s="291" t="s">
        <v>118</v>
      </c>
      <c r="D26" s="41">
        <v>300</v>
      </c>
      <c r="E26" s="42">
        <v>300</v>
      </c>
      <c r="F26" s="42">
        <v>0</v>
      </c>
      <c r="G26" s="43">
        <v>-100</v>
      </c>
      <c r="H26" s="42">
        <v>297</v>
      </c>
      <c r="I26" s="42">
        <v>297</v>
      </c>
      <c r="J26" s="42">
        <v>0</v>
      </c>
      <c r="K26" s="43">
        <v>-100</v>
      </c>
      <c r="L26" s="107"/>
      <c r="O26" s="310">
        <f t="shared" si="0"/>
        <v>-300</v>
      </c>
      <c r="P26" s="310">
        <f t="shared" si="1"/>
        <v>-297</v>
      </c>
      <c r="Q26" s="311">
        <f t="shared" si="2"/>
        <v>0</v>
      </c>
    </row>
    <row r="27" spans="2:17" ht="12.75">
      <c r="B27" s="213" t="s">
        <v>115</v>
      </c>
      <c r="C27" s="214"/>
      <c r="D27" s="58">
        <v>2471900</v>
      </c>
      <c r="E27" s="59">
        <v>2471900</v>
      </c>
      <c r="F27" s="59">
        <v>8723835</v>
      </c>
      <c r="G27" s="60">
        <v>252.92022331000445</v>
      </c>
      <c r="H27" s="59">
        <v>1033914</v>
      </c>
      <c r="I27" s="59">
        <v>1033914</v>
      </c>
      <c r="J27" s="59">
        <v>1819081</v>
      </c>
      <c r="K27" s="60">
        <v>75.94122915445578</v>
      </c>
      <c r="L27" s="106"/>
      <c r="O27" s="310">
        <f t="shared" si="0"/>
        <v>6251935</v>
      </c>
      <c r="P27" s="310">
        <f t="shared" si="1"/>
        <v>785167</v>
      </c>
      <c r="Q27" s="311">
        <f t="shared" si="2"/>
        <v>0.2085185013242456</v>
      </c>
    </row>
    <row r="28" spans="2:17" ht="12.75">
      <c r="B28" s="404" t="s">
        <v>73</v>
      </c>
      <c r="C28" s="291" t="s">
        <v>78</v>
      </c>
      <c r="D28" s="287">
        <v>24487.5</v>
      </c>
      <c r="E28" s="288">
        <v>24487.5</v>
      </c>
      <c r="F28" s="288">
        <v>23537</v>
      </c>
      <c r="G28" s="289">
        <v>-3.8815722307299683</v>
      </c>
      <c r="H28" s="288">
        <v>52725.84</v>
      </c>
      <c r="I28" s="288">
        <v>52725.84</v>
      </c>
      <c r="J28" s="288">
        <v>50253</v>
      </c>
      <c r="K28" s="289">
        <v>-4.689996404040208</v>
      </c>
      <c r="L28" s="106"/>
      <c r="O28" s="310">
        <f t="shared" si="0"/>
        <v>-950.5</v>
      </c>
      <c r="P28" s="310">
        <f t="shared" si="1"/>
        <v>-2472.8399999999965</v>
      </c>
      <c r="Q28" s="311">
        <f t="shared" si="2"/>
        <v>2.135063941878744</v>
      </c>
    </row>
    <row r="29" spans="2:17" ht="12.75">
      <c r="B29" s="401"/>
      <c r="C29" s="291" t="s">
        <v>76</v>
      </c>
      <c r="D29" s="287">
        <v>600</v>
      </c>
      <c r="E29" s="288">
        <v>600</v>
      </c>
      <c r="F29" s="288">
        <v>300</v>
      </c>
      <c r="G29" s="289">
        <v>-50</v>
      </c>
      <c r="H29" s="288">
        <v>4819.46</v>
      </c>
      <c r="I29" s="288">
        <v>4819.46</v>
      </c>
      <c r="J29" s="288">
        <v>2488.76</v>
      </c>
      <c r="K29" s="289">
        <v>-48.36018973079971</v>
      </c>
      <c r="L29" s="106"/>
      <c r="O29" s="310">
        <f t="shared" si="0"/>
        <v>-300</v>
      </c>
      <c r="P29" s="310">
        <f t="shared" si="1"/>
        <v>-2330.7</v>
      </c>
      <c r="Q29" s="311">
        <f t="shared" si="2"/>
        <v>8.295866666666667</v>
      </c>
    </row>
    <row r="30" spans="2:17" ht="12.75">
      <c r="B30" s="401"/>
      <c r="C30" s="291" t="s">
        <v>82</v>
      </c>
      <c r="D30" s="287">
        <v>140</v>
      </c>
      <c r="E30" s="288">
        <v>140</v>
      </c>
      <c r="F30" s="288">
        <v>31.65</v>
      </c>
      <c r="G30" s="289">
        <v>-77.39285714285714</v>
      </c>
      <c r="H30" s="288">
        <v>417.21</v>
      </c>
      <c r="I30" s="288">
        <v>417.21</v>
      </c>
      <c r="J30" s="288">
        <v>71.36</v>
      </c>
      <c r="K30" s="289">
        <v>-82.89590374152105</v>
      </c>
      <c r="L30" s="106"/>
      <c r="O30" s="310">
        <f t="shared" si="0"/>
        <v>-108.35</v>
      </c>
      <c r="P30" s="310">
        <f t="shared" si="1"/>
        <v>-345.84999999999997</v>
      </c>
      <c r="Q30" s="311">
        <f t="shared" si="2"/>
        <v>2.2546603475513427</v>
      </c>
    </row>
    <row r="31" spans="2:17" ht="12.75">
      <c r="B31" s="401"/>
      <c r="C31" s="291" t="s">
        <v>75</v>
      </c>
      <c r="D31" s="287">
        <v>255</v>
      </c>
      <c r="E31" s="288">
        <v>255</v>
      </c>
      <c r="F31" s="288">
        <v>0</v>
      </c>
      <c r="G31" s="289">
        <v>-100</v>
      </c>
      <c r="H31" s="288">
        <v>355</v>
      </c>
      <c r="I31" s="288">
        <v>355</v>
      </c>
      <c r="J31" s="288">
        <v>0</v>
      </c>
      <c r="K31" s="289">
        <v>-100</v>
      </c>
      <c r="L31" s="107"/>
      <c r="O31" s="310">
        <f t="shared" si="0"/>
        <v>-255</v>
      </c>
      <c r="P31" s="310">
        <f t="shared" si="1"/>
        <v>-355</v>
      </c>
      <c r="Q31" s="311">
        <f t="shared" si="2"/>
        <v>0</v>
      </c>
    </row>
    <row r="32" spans="2:18" s="204" customFormat="1" ht="12.75">
      <c r="B32" s="405"/>
      <c r="C32" s="291" t="s">
        <v>124</v>
      </c>
      <c r="D32" s="287">
        <v>0</v>
      </c>
      <c r="E32" s="288">
        <v>0</v>
      </c>
      <c r="F32" s="288">
        <v>63.26</v>
      </c>
      <c r="G32" s="289" t="s">
        <v>143</v>
      </c>
      <c r="H32" s="288">
        <v>0</v>
      </c>
      <c r="I32" s="288">
        <v>0</v>
      </c>
      <c r="J32" s="288">
        <v>137.54</v>
      </c>
      <c r="K32" s="289" t="s">
        <v>143</v>
      </c>
      <c r="L32" s="107"/>
      <c r="M32" s="139"/>
      <c r="N32" s="139"/>
      <c r="O32" s="310">
        <f t="shared" si="0"/>
        <v>63.26</v>
      </c>
      <c r="P32" s="310">
        <f t="shared" si="1"/>
        <v>137.54</v>
      </c>
      <c r="Q32" s="311">
        <f t="shared" si="2"/>
        <v>2.174201707239962</v>
      </c>
      <c r="R32" s="139"/>
    </row>
    <row r="33" spans="2:17" ht="12.75">
      <c r="B33" s="213" t="s">
        <v>112</v>
      </c>
      <c r="C33" s="214"/>
      <c r="D33" s="58">
        <v>25482.5</v>
      </c>
      <c r="E33" s="59">
        <v>25482.5</v>
      </c>
      <c r="F33" s="59">
        <v>23931.91</v>
      </c>
      <c r="G33" s="60">
        <v>-6.084921024232315</v>
      </c>
      <c r="H33" s="59">
        <v>58317.509999999995</v>
      </c>
      <c r="I33" s="59">
        <v>58317.509999999995</v>
      </c>
      <c r="J33" s="59">
        <v>52950.66</v>
      </c>
      <c r="K33" s="60">
        <v>-9.202810613827639</v>
      </c>
      <c r="L33" s="106"/>
      <c r="O33" s="310">
        <f t="shared" si="0"/>
        <v>-1550.5900000000001</v>
      </c>
      <c r="P33" s="310">
        <f t="shared" si="1"/>
        <v>-5366.849999999991</v>
      </c>
      <c r="Q33" s="311">
        <f t="shared" si="2"/>
        <v>2.2125547020693292</v>
      </c>
    </row>
    <row r="34" spans="2:17" ht="12.75">
      <c r="B34" s="404" t="s">
        <v>86</v>
      </c>
      <c r="C34" s="291" t="s">
        <v>94</v>
      </c>
      <c r="D34" s="287">
        <v>44750</v>
      </c>
      <c r="E34" s="288">
        <v>44750</v>
      </c>
      <c r="F34" s="288">
        <v>0</v>
      </c>
      <c r="G34" s="289">
        <v>-100</v>
      </c>
      <c r="H34" s="288">
        <v>41617.5</v>
      </c>
      <c r="I34" s="288">
        <v>41617.5</v>
      </c>
      <c r="J34" s="288">
        <v>0</v>
      </c>
      <c r="K34" s="289">
        <v>-100</v>
      </c>
      <c r="O34" s="310">
        <f t="shared" si="0"/>
        <v>-44750</v>
      </c>
      <c r="P34" s="310">
        <f t="shared" si="1"/>
        <v>-41617.5</v>
      </c>
      <c r="Q34" s="311">
        <f t="shared" si="2"/>
        <v>0</v>
      </c>
    </row>
    <row r="35" spans="2:17" ht="12.75">
      <c r="B35" s="401"/>
      <c r="C35" s="291" t="s">
        <v>75</v>
      </c>
      <c r="D35" s="287">
        <v>3330</v>
      </c>
      <c r="E35" s="288">
        <v>3330</v>
      </c>
      <c r="F35" s="288">
        <v>0</v>
      </c>
      <c r="G35" s="289">
        <v>-100</v>
      </c>
      <c r="H35" s="288">
        <v>5843.75</v>
      </c>
      <c r="I35" s="288">
        <v>5843.75</v>
      </c>
      <c r="J35" s="288">
        <v>0</v>
      </c>
      <c r="K35" s="289">
        <v>-100</v>
      </c>
      <c r="O35" s="310">
        <f t="shared" si="0"/>
        <v>-3330</v>
      </c>
      <c r="P35" s="310">
        <f t="shared" si="1"/>
        <v>-5843.75</v>
      </c>
      <c r="Q35" s="311">
        <f t="shared" si="2"/>
        <v>0</v>
      </c>
    </row>
    <row r="36" spans="2:17" ht="12.75">
      <c r="B36" s="401"/>
      <c r="C36" s="291" t="s">
        <v>118</v>
      </c>
      <c r="D36" s="287">
        <v>107.82</v>
      </c>
      <c r="E36" s="288">
        <v>107.82</v>
      </c>
      <c r="F36" s="288">
        <v>0</v>
      </c>
      <c r="G36" s="289">
        <v>-100</v>
      </c>
      <c r="H36" s="288">
        <v>1402.68</v>
      </c>
      <c r="I36" s="288">
        <v>1402.68</v>
      </c>
      <c r="J36" s="288">
        <v>0</v>
      </c>
      <c r="K36" s="289">
        <v>-100</v>
      </c>
      <c r="M36" s="140"/>
      <c r="N36" s="140"/>
      <c r="O36" s="310">
        <f t="shared" si="0"/>
        <v>-107.82</v>
      </c>
      <c r="P36" s="310">
        <f t="shared" si="1"/>
        <v>-1402.68</v>
      </c>
      <c r="Q36" s="311">
        <f t="shared" si="2"/>
        <v>0</v>
      </c>
    </row>
    <row r="37" spans="2:17" ht="12.75">
      <c r="B37" s="401"/>
      <c r="C37" s="291" t="s">
        <v>78</v>
      </c>
      <c r="D37" s="287">
        <v>870</v>
      </c>
      <c r="E37" s="288">
        <v>870</v>
      </c>
      <c r="F37" s="288">
        <v>0</v>
      </c>
      <c r="G37" s="289">
        <v>-100</v>
      </c>
      <c r="H37" s="288">
        <v>770</v>
      </c>
      <c r="I37" s="288">
        <v>770</v>
      </c>
      <c r="J37" s="288">
        <v>0</v>
      </c>
      <c r="K37" s="289">
        <v>-100</v>
      </c>
      <c r="M37" s="140"/>
      <c r="N37" s="140"/>
      <c r="O37" s="310">
        <f t="shared" si="0"/>
        <v>-870</v>
      </c>
      <c r="P37" s="310">
        <f t="shared" si="1"/>
        <v>-770</v>
      </c>
      <c r="Q37" s="311">
        <f t="shared" si="2"/>
        <v>0</v>
      </c>
    </row>
    <row r="38" spans="2:17" ht="12.75">
      <c r="B38" s="401"/>
      <c r="C38" s="291" t="s">
        <v>87</v>
      </c>
      <c r="D38" s="41">
        <v>290</v>
      </c>
      <c r="E38" s="42">
        <v>290</v>
      </c>
      <c r="F38" s="42">
        <v>0</v>
      </c>
      <c r="G38" s="43">
        <v>-100</v>
      </c>
      <c r="H38" s="42">
        <v>524.38</v>
      </c>
      <c r="I38" s="42">
        <v>524.38</v>
      </c>
      <c r="J38" s="42">
        <v>0</v>
      </c>
      <c r="K38" s="43">
        <v>-100</v>
      </c>
      <c r="M38" s="140"/>
      <c r="N38" s="140"/>
      <c r="O38" s="310">
        <f t="shared" si="0"/>
        <v>-290</v>
      </c>
      <c r="P38" s="310">
        <f t="shared" si="1"/>
        <v>-524.38</v>
      </c>
      <c r="Q38" s="311">
        <f t="shared" si="2"/>
        <v>0</v>
      </c>
    </row>
    <row r="39" spans="2:17" ht="12.75">
      <c r="B39" s="213" t="s">
        <v>110</v>
      </c>
      <c r="C39" s="214"/>
      <c r="D39" s="58">
        <v>49347.82</v>
      </c>
      <c r="E39" s="59">
        <v>49347.82</v>
      </c>
      <c r="F39" s="59">
        <v>0</v>
      </c>
      <c r="G39" s="60">
        <v>-100</v>
      </c>
      <c r="H39" s="59">
        <v>50158.31</v>
      </c>
      <c r="I39" s="59">
        <v>50158.31</v>
      </c>
      <c r="J39" s="59">
        <v>0</v>
      </c>
      <c r="K39" s="60">
        <v>-100</v>
      </c>
      <c r="O39" s="310">
        <f t="shared" si="0"/>
        <v>-49347.82</v>
      </c>
      <c r="P39" s="310">
        <f t="shared" si="1"/>
        <v>-50158.31</v>
      </c>
      <c r="Q39" s="311">
        <f t="shared" si="2"/>
        <v>0</v>
      </c>
    </row>
    <row r="40" spans="2:18" s="204" customFormat="1" ht="12.75">
      <c r="B40" s="401" t="s">
        <v>81</v>
      </c>
      <c r="C40" s="291" t="s">
        <v>82</v>
      </c>
      <c r="D40" s="287">
        <v>10.42</v>
      </c>
      <c r="E40" s="288">
        <v>10.42</v>
      </c>
      <c r="F40" s="288">
        <v>0</v>
      </c>
      <c r="G40" s="289">
        <v>-100</v>
      </c>
      <c r="H40" s="288">
        <v>31.85</v>
      </c>
      <c r="I40" s="288">
        <v>31.85</v>
      </c>
      <c r="J40" s="288">
        <v>0</v>
      </c>
      <c r="K40" s="289">
        <v>-100</v>
      </c>
      <c r="M40" s="139"/>
      <c r="N40" s="139"/>
      <c r="O40" s="310">
        <f t="shared" si="0"/>
        <v>-10.42</v>
      </c>
      <c r="P40" s="310">
        <f t="shared" si="1"/>
        <v>-31.85</v>
      </c>
      <c r="Q40" s="311">
        <f t="shared" si="2"/>
        <v>0</v>
      </c>
      <c r="R40" s="139"/>
    </row>
    <row r="41" spans="2:18" s="204" customFormat="1" ht="12.75">
      <c r="B41" s="401"/>
      <c r="C41" s="291" t="s">
        <v>75</v>
      </c>
      <c r="D41" s="206">
        <v>0</v>
      </c>
      <c r="E41" s="207">
        <v>0</v>
      </c>
      <c r="F41" s="207">
        <v>15600</v>
      </c>
      <c r="G41" s="208" t="s">
        <v>143</v>
      </c>
      <c r="H41" s="207">
        <v>0</v>
      </c>
      <c r="I41" s="207">
        <v>0</v>
      </c>
      <c r="J41" s="207">
        <v>52572</v>
      </c>
      <c r="K41" s="208" t="s">
        <v>143</v>
      </c>
      <c r="M41" s="139"/>
      <c r="N41" s="139"/>
      <c r="O41" s="310">
        <f t="shared" si="0"/>
        <v>15600</v>
      </c>
      <c r="P41" s="310">
        <f t="shared" si="1"/>
        <v>52572</v>
      </c>
      <c r="Q41" s="311">
        <f t="shared" si="2"/>
        <v>3.37</v>
      </c>
      <c r="R41" s="139"/>
    </row>
    <row r="42" spans="2:18" s="204" customFormat="1" ht="12.75">
      <c r="B42" s="213" t="s">
        <v>113</v>
      </c>
      <c r="C42" s="214"/>
      <c r="D42" s="209">
        <v>10.42</v>
      </c>
      <c r="E42" s="210">
        <v>10.42</v>
      </c>
      <c r="F42" s="210">
        <v>15600</v>
      </c>
      <c r="G42" s="205">
        <v>149612.09213051823</v>
      </c>
      <c r="H42" s="210">
        <v>31.85</v>
      </c>
      <c r="I42" s="210">
        <v>31.85</v>
      </c>
      <c r="J42" s="210">
        <v>52572</v>
      </c>
      <c r="K42" s="205">
        <v>164961.22448979592</v>
      </c>
      <c r="M42" s="139"/>
      <c r="N42" s="139"/>
      <c r="O42" s="310">
        <f t="shared" si="0"/>
        <v>15589.58</v>
      </c>
      <c r="P42" s="310">
        <f t="shared" si="1"/>
        <v>52540.15</v>
      </c>
      <c r="Q42" s="311">
        <f t="shared" si="2"/>
        <v>3.37</v>
      </c>
      <c r="R42" s="139"/>
    </row>
    <row r="43" spans="2:17" ht="12.75">
      <c r="B43" s="119" t="s">
        <v>91</v>
      </c>
      <c r="C43" s="120"/>
      <c r="D43" s="58">
        <v>4606127.239999998</v>
      </c>
      <c r="E43" s="59">
        <v>4606127.239999998</v>
      </c>
      <c r="F43" s="59">
        <v>10772376.279999997</v>
      </c>
      <c r="G43" s="60">
        <v>133.8705754033838</v>
      </c>
      <c r="H43" s="59">
        <v>6470362.47</v>
      </c>
      <c r="I43" s="59">
        <v>6470362.47</v>
      </c>
      <c r="J43" s="59">
        <v>9724142.76</v>
      </c>
      <c r="K43" s="60">
        <v>50.287449970326016</v>
      </c>
      <c r="O43" s="310">
        <f t="shared" si="0"/>
        <v>6166249.039999999</v>
      </c>
      <c r="P43" s="310">
        <f t="shared" si="1"/>
        <v>3253780.29</v>
      </c>
      <c r="Q43" s="311">
        <f t="shared" si="2"/>
        <v>0.9026924521801054</v>
      </c>
    </row>
    <row r="44" spans="2:11" ht="12.75">
      <c r="B44" s="402" t="s">
        <v>258</v>
      </c>
      <c r="C44" s="403"/>
      <c r="D44" s="403"/>
      <c r="E44" s="403"/>
      <c r="F44" s="403"/>
      <c r="G44" s="403"/>
      <c r="H44" s="403"/>
      <c r="I44" s="403"/>
      <c r="J44" s="403"/>
      <c r="K44" s="403"/>
    </row>
  </sheetData>
  <sheetProtection/>
  <mergeCells count="12">
    <mergeCell ref="B21:B22"/>
    <mergeCell ref="B44:K44"/>
    <mergeCell ref="B24:B26"/>
    <mergeCell ref="B34:B38"/>
    <mergeCell ref="B28:B32"/>
    <mergeCell ref="B40:B41"/>
    <mergeCell ref="B6:B19"/>
    <mergeCell ref="B2:K2"/>
    <mergeCell ref="D4:G4"/>
    <mergeCell ref="H4:K4"/>
    <mergeCell ref="B4:B5"/>
    <mergeCell ref="C4:C5"/>
  </mergeCells>
  <conditionalFormatting sqref="Q6:Q43">
    <cfRule type="top10" priority="6" dxfId="44" rank="2"/>
  </conditionalFormatting>
  <conditionalFormatting sqref="O6:O43">
    <cfRule type="top10" priority="3" dxfId="42" rank="2"/>
    <cfRule type="top10" priority="4" dxfId="43" rank="2" bottom="1"/>
  </conditionalFormatting>
  <conditionalFormatting sqref="P6:P43">
    <cfRule type="top10" priority="1" dxfId="42" rank="2"/>
    <cfRule type="top10" priority="2" dxfId="43" rank="2" bottom="1"/>
  </conditionalFormatting>
  <hyperlinks>
    <hyperlink ref="M2" location="Índice!A1" display="Volver al índice"/>
  </hyperlink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122" scale="90"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S105"/>
  <sheetViews>
    <sheetView zoomScale="80" zoomScaleNormal="80" zoomScalePageLayoutView="0" workbookViewId="0" topLeftCell="A1">
      <selection activeCell="A1" sqref="A1"/>
    </sheetView>
  </sheetViews>
  <sheetFormatPr defaultColWidth="10.8515625" defaultRowHeight="15"/>
  <cols>
    <col min="1" max="1" width="1.421875" style="34" customWidth="1"/>
    <col min="2" max="2" width="13.421875" style="34" customWidth="1"/>
    <col min="3" max="3" width="16.00390625" style="34" customWidth="1"/>
    <col min="4" max="11" width="11.7109375" style="34" customWidth="1"/>
    <col min="12" max="12" width="2.8515625" style="34" customWidth="1"/>
    <col min="13" max="13" width="10.8515625" style="34" customWidth="1"/>
    <col min="14" max="14" width="4.421875" style="139" customWidth="1"/>
    <col min="15" max="15" width="5.00390625" style="322" hidden="1" customWidth="1"/>
    <col min="16" max="16" width="11.28125" style="322" hidden="1" customWidth="1"/>
    <col min="17" max="17" width="11.28125" style="308" hidden="1" customWidth="1"/>
    <col min="18" max="18" width="8.57421875" style="308" hidden="1" customWidth="1"/>
    <col min="19" max="19" width="10.8515625" style="139" customWidth="1"/>
    <col min="20" max="16384" width="10.8515625" style="34" customWidth="1"/>
  </cols>
  <sheetData>
    <row r="2" spans="2:14" ht="15">
      <c r="B2" s="393" t="s">
        <v>202</v>
      </c>
      <c r="C2" s="393"/>
      <c r="D2" s="393"/>
      <c r="E2" s="393"/>
      <c r="F2" s="393"/>
      <c r="G2" s="393"/>
      <c r="H2" s="393"/>
      <c r="I2" s="393"/>
      <c r="J2" s="393"/>
      <c r="K2" s="393"/>
      <c r="L2" s="104"/>
      <c r="M2" s="44" t="s">
        <v>147</v>
      </c>
      <c r="N2" s="141"/>
    </row>
    <row r="3" spans="2:14" ht="15">
      <c r="B3" s="104"/>
      <c r="C3" s="104"/>
      <c r="D3" s="104"/>
      <c r="E3" s="104"/>
      <c r="F3" s="104"/>
      <c r="G3" s="104"/>
      <c r="H3" s="104"/>
      <c r="I3" s="104"/>
      <c r="J3" s="104"/>
      <c r="K3" s="104"/>
      <c r="L3" s="104"/>
      <c r="M3" s="44"/>
      <c r="N3" s="141"/>
    </row>
    <row r="4" spans="2:12" ht="15">
      <c r="B4" s="406" t="s">
        <v>69</v>
      </c>
      <c r="C4" s="406" t="s">
        <v>70</v>
      </c>
      <c r="D4" s="394" t="s">
        <v>71</v>
      </c>
      <c r="E4" s="395"/>
      <c r="F4" s="395"/>
      <c r="G4" s="396"/>
      <c r="H4" s="394" t="s">
        <v>92</v>
      </c>
      <c r="I4" s="395"/>
      <c r="J4" s="395"/>
      <c r="K4" s="396"/>
      <c r="L4" s="104"/>
    </row>
    <row r="5" spans="2:18" ht="25.5">
      <c r="B5" s="407"/>
      <c r="C5" s="407"/>
      <c r="D5" s="35" t="str">
        <f>+export!D5</f>
        <v>2016</v>
      </c>
      <c r="E5" s="36" t="str">
        <f>+export!E5</f>
        <v>ene-dic 2016</v>
      </c>
      <c r="F5" s="36" t="str">
        <f>+export!F5</f>
        <v>ene-dic 2017</v>
      </c>
      <c r="G5" s="37" t="str">
        <f>+export!G5</f>
        <v>variación (%)</v>
      </c>
      <c r="H5" s="35" t="str">
        <f>+export!H5</f>
        <v>2016</v>
      </c>
      <c r="I5" s="38" t="str">
        <f>+export!I5</f>
        <v>ene-dic 2016</v>
      </c>
      <c r="J5" s="38" t="str">
        <f>+export!J5</f>
        <v>ene-dic 2017</v>
      </c>
      <c r="K5" s="39" t="str">
        <f>+export!K5</f>
        <v>variación (%)</v>
      </c>
      <c r="L5" s="105"/>
      <c r="P5" s="309" t="str">
        <f>+export!O5</f>
        <v>diff Vol</v>
      </c>
      <c r="Q5" s="309" t="str">
        <f>+export!P5</f>
        <v>diff $</v>
      </c>
      <c r="R5" s="309" t="str">
        <f>+export!Q5</f>
        <v>Px 2017</v>
      </c>
    </row>
    <row r="6" spans="2:18" ht="15" customHeight="1">
      <c r="B6" s="404" t="s">
        <v>86</v>
      </c>
      <c r="C6" s="305" t="s">
        <v>94</v>
      </c>
      <c r="D6" s="283">
        <v>47173548.3941</v>
      </c>
      <c r="E6" s="284">
        <v>47173548.3941</v>
      </c>
      <c r="F6" s="284">
        <v>49840085.68</v>
      </c>
      <c r="G6" s="285">
        <v>5.652611212586889</v>
      </c>
      <c r="H6" s="284">
        <v>36729736.76</v>
      </c>
      <c r="I6" s="284">
        <v>36729736.76</v>
      </c>
      <c r="J6" s="284">
        <v>40894096.53</v>
      </c>
      <c r="K6" s="285">
        <v>11.337842678293143</v>
      </c>
      <c r="L6" s="106"/>
      <c r="O6" s="323">
        <f aca="true" t="shared" si="0" ref="O6:O12">+J6/$J$24</f>
        <v>0.4966009262960069</v>
      </c>
      <c r="P6" s="324">
        <f>+F6-E6</f>
        <v>2666537.2858999968</v>
      </c>
      <c r="Q6" s="324">
        <f>+J6-I6</f>
        <v>4164359.7700000033</v>
      </c>
      <c r="R6" s="325">
        <f>+IF(F6=0,0,J6/F6)</f>
        <v>0.8205061442422464</v>
      </c>
    </row>
    <row r="7" spans="2:18" ht="15">
      <c r="B7" s="401"/>
      <c r="C7" s="296" t="s">
        <v>126</v>
      </c>
      <c r="D7" s="287">
        <v>25016697.2477</v>
      </c>
      <c r="E7" s="288">
        <v>25016697.2477</v>
      </c>
      <c r="F7" s="288">
        <v>26397881.4223</v>
      </c>
      <c r="G7" s="289">
        <v>5.521049245327481</v>
      </c>
      <c r="H7" s="288">
        <v>19994052.33</v>
      </c>
      <c r="I7" s="288">
        <v>19994052.33</v>
      </c>
      <c r="J7" s="288">
        <v>21995698.43</v>
      </c>
      <c r="K7" s="289">
        <v>10.01120766797554</v>
      </c>
      <c r="L7" s="106"/>
      <c r="O7" s="323">
        <f t="shared" si="0"/>
        <v>0.2671066276486247</v>
      </c>
      <c r="P7" s="324">
        <f aca="true" t="shared" si="1" ref="P7:P71">+F7-E7</f>
        <v>1381184.1746000014</v>
      </c>
      <c r="Q7" s="324">
        <f aca="true" t="shared" si="2" ref="Q7:Q71">+J7-I7</f>
        <v>2001646.1000000015</v>
      </c>
      <c r="R7" s="325">
        <f aca="true" t="shared" si="3" ref="R7:R71">+IF(F7=0,0,J7/F7)</f>
        <v>0.8332372616621729</v>
      </c>
    </row>
    <row r="8" spans="2:18" ht="15">
      <c r="B8" s="401"/>
      <c r="C8" s="296" t="s">
        <v>77</v>
      </c>
      <c r="D8" s="287">
        <v>10528578.4985</v>
      </c>
      <c r="E8" s="288">
        <v>10528578.4985</v>
      </c>
      <c r="F8" s="288">
        <v>8273486.2846</v>
      </c>
      <c r="G8" s="289">
        <v>-21.41877190943946</v>
      </c>
      <c r="H8" s="288">
        <v>11875265.83</v>
      </c>
      <c r="I8" s="288">
        <v>11875265.83</v>
      </c>
      <c r="J8" s="288">
        <v>10044832.08</v>
      </c>
      <c r="K8" s="289">
        <v>-15.413833898150308</v>
      </c>
      <c r="L8" s="106"/>
      <c r="O8" s="323">
        <f t="shared" si="0"/>
        <v>0.12198026949333475</v>
      </c>
      <c r="P8" s="324">
        <f t="shared" si="1"/>
        <v>-2255092.213900001</v>
      </c>
      <c r="Q8" s="324">
        <f t="shared" si="2"/>
        <v>-1830433.75</v>
      </c>
      <c r="R8" s="325">
        <f t="shared" si="3"/>
        <v>1.2140990792112782</v>
      </c>
    </row>
    <row r="9" spans="2:18" ht="15">
      <c r="B9" s="401"/>
      <c r="C9" s="296" t="s">
        <v>93</v>
      </c>
      <c r="D9" s="287">
        <v>9095842.7362</v>
      </c>
      <c r="E9" s="288">
        <v>9095842.7362</v>
      </c>
      <c r="F9" s="288">
        <v>9058523.5615</v>
      </c>
      <c r="G9" s="289">
        <v>-0.4102882578595479</v>
      </c>
      <c r="H9" s="288">
        <v>6919707.18</v>
      </c>
      <c r="I9" s="288">
        <v>6919707.18</v>
      </c>
      <c r="J9" s="288">
        <v>7143811.77</v>
      </c>
      <c r="K9" s="289">
        <v>3.238642679096726</v>
      </c>
      <c r="L9" s="106"/>
      <c r="O9" s="323">
        <f t="shared" si="0"/>
        <v>0.08675148354637868</v>
      </c>
      <c r="P9" s="324">
        <f t="shared" si="1"/>
        <v>-37319.17469999939</v>
      </c>
      <c r="Q9" s="324">
        <f t="shared" si="2"/>
        <v>224104.58999999985</v>
      </c>
      <c r="R9" s="325">
        <f t="shared" si="3"/>
        <v>0.788628712118408</v>
      </c>
    </row>
    <row r="10" spans="2:18" ht="15">
      <c r="B10" s="401"/>
      <c r="C10" s="296" t="s">
        <v>124</v>
      </c>
      <c r="D10" s="287">
        <v>512774.2314</v>
      </c>
      <c r="E10" s="288">
        <v>512774.2314</v>
      </c>
      <c r="F10" s="288">
        <v>1027063.3901</v>
      </c>
      <c r="G10" s="289">
        <v>100.29543748636974</v>
      </c>
      <c r="H10" s="288">
        <v>743324.95</v>
      </c>
      <c r="I10" s="288">
        <v>743324.95</v>
      </c>
      <c r="J10" s="288">
        <v>1409431.11</v>
      </c>
      <c r="K10" s="289">
        <v>89.61170481362157</v>
      </c>
      <c r="L10" s="106"/>
      <c r="M10" s="40"/>
      <c r="O10" s="323">
        <f t="shared" si="0"/>
        <v>0.017115546109765328</v>
      </c>
      <c r="P10" s="324">
        <f t="shared" si="1"/>
        <v>514289.15869999997</v>
      </c>
      <c r="Q10" s="324">
        <f t="shared" si="2"/>
        <v>666106.1600000001</v>
      </c>
      <c r="R10" s="325">
        <f t="shared" si="3"/>
        <v>1.3722922300470382</v>
      </c>
    </row>
    <row r="11" spans="2:18" ht="15">
      <c r="B11" s="401"/>
      <c r="C11" s="296" t="s">
        <v>98</v>
      </c>
      <c r="D11" s="287">
        <v>553778.084</v>
      </c>
      <c r="E11" s="288">
        <v>553778.084</v>
      </c>
      <c r="F11" s="288">
        <v>483246.3069</v>
      </c>
      <c r="G11" s="289">
        <v>-12.736469560250786</v>
      </c>
      <c r="H11" s="288">
        <v>506226.95</v>
      </c>
      <c r="I11" s="288">
        <v>506226.95</v>
      </c>
      <c r="J11" s="288">
        <v>445261.41</v>
      </c>
      <c r="K11" s="289">
        <v>-12.043124136318706</v>
      </c>
      <c r="L11" s="106"/>
      <c r="O11" s="323">
        <f t="shared" si="0"/>
        <v>0.00540706966071873</v>
      </c>
      <c r="P11" s="324">
        <f t="shared" si="1"/>
        <v>-70531.7771</v>
      </c>
      <c r="Q11" s="324">
        <f t="shared" si="2"/>
        <v>-60965.54000000004</v>
      </c>
      <c r="R11" s="325">
        <f t="shared" si="3"/>
        <v>0.921396405192062</v>
      </c>
    </row>
    <row r="12" spans="2:18" ht="15">
      <c r="B12" s="401"/>
      <c r="C12" s="296" t="s">
        <v>116</v>
      </c>
      <c r="D12" s="287">
        <v>75600</v>
      </c>
      <c r="E12" s="288">
        <v>75600</v>
      </c>
      <c r="F12" s="288">
        <v>7525.8</v>
      </c>
      <c r="G12" s="289">
        <v>-90.0452380952381</v>
      </c>
      <c r="H12" s="288">
        <v>55192.78</v>
      </c>
      <c r="I12" s="288">
        <v>55192.78</v>
      </c>
      <c r="J12" s="288">
        <v>32601.06</v>
      </c>
      <c r="K12" s="289">
        <v>-40.93238282253584</v>
      </c>
      <c r="L12" s="106"/>
      <c r="O12" s="323">
        <f t="shared" si="0"/>
        <v>0.000395893734499181</v>
      </c>
      <c r="P12" s="324">
        <f t="shared" si="1"/>
        <v>-68074.2</v>
      </c>
      <c r="Q12" s="324">
        <f t="shared" si="2"/>
        <v>-22591.719999999998</v>
      </c>
      <c r="R12" s="325">
        <f t="shared" si="3"/>
        <v>4.3319062425257115</v>
      </c>
    </row>
    <row r="13" spans="2:18" ht="15">
      <c r="B13" s="401"/>
      <c r="C13" s="296" t="s">
        <v>82</v>
      </c>
      <c r="D13" s="287">
        <v>8976.67</v>
      </c>
      <c r="E13" s="288">
        <v>8976.67</v>
      </c>
      <c r="F13" s="288">
        <v>66510.2308</v>
      </c>
      <c r="G13" s="289">
        <v>640.9232020337163</v>
      </c>
      <c r="H13" s="288">
        <v>51485.8</v>
      </c>
      <c r="I13" s="288">
        <v>51485.8</v>
      </c>
      <c r="J13" s="288">
        <v>306689.76</v>
      </c>
      <c r="K13" s="289">
        <v>495.67834237789833</v>
      </c>
      <c r="L13" s="106"/>
      <c r="O13" s="326"/>
      <c r="P13" s="324">
        <f t="shared" si="1"/>
        <v>57533.56080000001</v>
      </c>
      <c r="Q13" s="324">
        <f t="shared" si="2"/>
        <v>255203.96000000002</v>
      </c>
      <c r="R13" s="325">
        <f t="shared" si="3"/>
        <v>4.611166677833871</v>
      </c>
    </row>
    <row r="14" spans="2:18" ht="15">
      <c r="B14" s="401"/>
      <c r="C14" s="296" t="s">
        <v>75</v>
      </c>
      <c r="D14" s="287">
        <v>8721.63</v>
      </c>
      <c r="E14" s="288">
        <v>8721.63</v>
      </c>
      <c r="F14" s="288">
        <v>4200</v>
      </c>
      <c r="G14" s="289">
        <v>-51.843864048348756</v>
      </c>
      <c r="H14" s="288">
        <v>19631.86</v>
      </c>
      <c r="I14" s="288">
        <v>19631.86</v>
      </c>
      <c r="J14" s="288">
        <v>9165.99</v>
      </c>
      <c r="K14" s="289">
        <v>-53.31063893079923</v>
      </c>
      <c r="L14" s="106"/>
      <c r="O14" s="326"/>
      <c r="P14" s="324">
        <f t="shared" si="1"/>
        <v>-4521.629999999999</v>
      </c>
      <c r="Q14" s="324">
        <f t="shared" si="2"/>
        <v>-10465.87</v>
      </c>
      <c r="R14" s="325">
        <f t="shared" si="3"/>
        <v>2.1823785714285715</v>
      </c>
    </row>
    <row r="15" spans="2:18" ht="15">
      <c r="B15" s="401"/>
      <c r="C15" s="296" t="s">
        <v>174</v>
      </c>
      <c r="D15" s="287">
        <v>20820</v>
      </c>
      <c r="E15" s="288">
        <v>20820</v>
      </c>
      <c r="F15" s="288">
        <v>0</v>
      </c>
      <c r="G15" s="289">
        <v>-100</v>
      </c>
      <c r="H15" s="288">
        <v>16078.07</v>
      </c>
      <c r="I15" s="288">
        <v>16078.07</v>
      </c>
      <c r="J15" s="288">
        <v>0</v>
      </c>
      <c r="K15" s="289">
        <v>-100</v>
      </c>
      <c r="L15" s="106"/>
      <c r="O15" s="326"/>
      <c r="P15" s="324">
        <f t="shared" si="1"/>
        <v>-20820</v>
      </c>
      <c r="Q15" s="324">
        <f t="shared" si="2"/>
        <v>-16078.07</v>
      </c>
      <c r="R15" s="325">
        <f t="shared" si="3"/>
        <v>0</v>
      </c>
    </row>
    <row r="16" spans="2:18" ht="15">
      <c r="B16" s="401"/>
      <c r="C16" s="296" t="s">
        <v>79</v>
      </c>
      <c r="D16" s="287">
        <v>3968.64</v>
      </c>
      <c r="E16" s="288">
        <v>3968.64</v>
      </c>
      <c r="F16" s="288">
        <v>3037.44</v>
      </c>
      <c r="G16" s="289">
        <v>-23.463957426221572</v>
      </c>
      <c r="H16" s="288">
        <v>10537.48</v>
      </c>
      <c r="I16" s="288">
        <v>10537.48</v>
      </c>
      <c r="J16" s="288">
        <v>8104.66</v>
      </c>
      <c r="K16" s="289">
        <v>-23.087303605795697</v>
      </c>
      <c r="L16" s="107"/>
      <c r="O16" s="326"/>
      <c r="P16" s="324">
        <f t="shared" si="1"/>
        <v>-931.1999999999998</v>
      </c>
      <c r="Q16" s="324">
        <f t="shared" si="2"/>
        <v>-2432.8199999999997</v>
      </c>
      <c r="R16" s="325">
        <f t="shared" si="3"/>
        <v>2.668253529287821</v>
      </c>
    </row>
    <row r="17" spans="2:18" ht="15">
      <c r="B17" s="401"/>
      <c r="C17" s="296" t="s">
        <v>101</v>
      </c>
      <c r="D17" s="287">
        <v>875.9782</v>
      </c>
      <c r="E17" s="288">
        <v>875.9782</v>
      </c>
      <c r="F17" s="288">
        <v>1890</v>
      </c>
      <c r="G17" s="289">
        <v>115.75879399738484</v>
      </c>
      <c r="H17" s="288">
        <v>3768.02</v>
      </c>
      <c r="I17" s="288">
        <v>3768.02</v>
      </c>
      <c r="J17" s="288">
        <v>2455.39</v>
      </c>
      <c r="K17" s="289">
        <v>-34.83606774910961</v>
      </c>
      <c r="L17" s="106"/>
      <c r="O17" s="326"/>
      <c r="P17" s="324">
        <f t="shared" si="1"/>
        <v>1014.0218</v>
      </c>
      <c r="Q17" s="324">
        <f t="shared" si="2"/>
        <v>-1312.63</v>
      </c>
      <c r="R17" s="325">
        <f t="shared" si="3"/>
        <v>1.2991481481481482</v>
      </c>
    </row>
    <row r="18" spans="2:18" ht="15">
      <c r="B18" s="401"/>
      <c r="C18" s="296" t="s">
        <v>100</v>
      </c>
      <c r="D18" s="287">
        <v>132.4</v>
      </c>
      <c r="E18" s="288">
        <v>132.4</v>
      </c>
      <c r="F18" s="288">
        <v>0</v>
      </c>
      <c r="G18" s="289">
        <v>-100</v>
      </c>
      <c r="H18" s="288">
        <v>493.72</v>
      </c>
      <c r="I18" s="288">
        <v>493.72</v>
      </c>
      <c r="J18" s="288">
        <v>0</v>
      </c>
      <c r="K18" s="289">
        <v>-100</v>
      </c>
      <c r="L18" s="106"/>
      <c r="O18" s="326"/>
      <c r="P18" s="324">
        <f t="shared" si="1"/>
        <v>-132.4</v>
      </c>
      <c r="Q18" s="324">
        <f t="shared" si="2"/>
        <v>-493.72</v>
      </c>
      <c r="R18" s="325">
        <f t="shared" si="3"/>
        <v>0</v>
      </c>
    </row>
    <row r="19" spans="2:19" s="204" customFormat="1" ht="15">
      <c r="B19" s="401"/>
      <c r="C19" s="296" t="s">
        <v>74</v>
      </c>
      <c r="D19" s="287">
        <v>8.2</v>
      </c>
      <c r="E19" s="288">
        <v>8.2</v>
      </c>
      <c r="F19" s="288">
        <v>0</v>
      </c>
      <c r="G19" s="289">
        <v>-100</v>
      </c>
      <c r="H19" s="288">
        <v>116.84</v>
      </c>
      <c r="I19" s="288">
        <v>116.84</v>
      </c>
      <c r="J19" s="288">
        <v>0</v>
      </c>
      <c r="K19" s="289">
        <v>-100</v>
      </c>
      <c r="L19" s="212"/>
      <c r="N19" s="139"/>
      <c r="O19" s="326"/>
      <c r="P19" s="324">
        <f t="shared" si="1"/>
        <v>-8.2</v>
      </c>
      <c r="Q19" s="324">
        <f t="shared" si="2"/>
        <v>-116.84</v>
      </c>
      <c r="R19" s="325">
        <f t="shared" si="3"/>
        <v>0</v>
      </c>
      <c r="S19" s="139"/>
    </row>
    <row r="20" spans="2:18" ht="15">
      <c r="B20" s="401"/>
      <c r="C20" s="296" t="s">
        <v>261</v>
      </c>
      <c r="D20" s="287">
        <v>0</v>
      </c>
      <c r="E20" s="288">
        <v>0</v>
      </c>
      <c r="F20" s="288">
        <v>48002</v>
      </c>
      <c r="G20" s="289" t="s">
        <v>143</v>
      </c>
      <c r="H20" s="288">
        <v>0</v>
      </c>
      <c r="I20" s="288">
        <v>0</v>
      </c>
      <c r="J20" s="288">
        <v>37312</v>
      </c>
      <c r="K20" s="289" t="s">
        <v>143</v>
      </c>
      <c r="L20" s="106"/>
      <c r="O20" s="326"/>
      <c r="P20" s="324">
        <f t="shared" si="1"/>
        <v>48002</v>
      </c>
      <c r="Q20" s="324">
        <f t="shared" si="2"/>
        <v>37312</v>
      </c>
      <c r="R20" s="325">
        <f t="shared" si="3"/>
        <v>0.7773009457939253</v>
      </c>
    </row>
    <row r="21" spans="2:19" s="204" customFormat="1" ht="15">
      <c r="B21" s="401"/>
      <c r="C21" s="296" t="s">
        <v>262</v>
      </c>
      <c r="D21" s="287">
        <v>0</v>
      </c>
      <c r="E21" s="288">
        <v>0</v>
      </c>
      <c r="F21" s="288">
        <v>119.68</v>
      </c>
      <c r="G21" s="289" t="s">
        <v>143</v>
      </c>
      <c r="H21" s="288">
        <v>0</v>
      </c>
      <c r="I21" s="288">
        <v>0</v>
      </c>
      <c r="J21" s="288">
        <v>389.8</v>
      </c>
      <c r="K21" s="289" t="s">
        <v>143</v>
      </c>
      <c r="L21" s="212"/>
      <c r="N21" s="139"/>
      <c r="O21" s="326"/>
      <c r="P21" s="324">
        <f t="shared" si="1"/>
        <v>119.68</v>
      </c>
      <c r="Q21" s="324">
        <f t="shared" si="2"/>
        <v>389.8</v>
      </c>
      <c r="R21" s="325">
        <f t="shared" si="3"/>
        <v>3.25701871657754</v>
      </c>
      <c r="S21" s="139"/>
    </row>
    <row r="22" spans="2:19" s="204" customFormat="1" ht="15">
      <c r="B22" s="401"/>
      <c r="C22" s="296" t="s">
        <v>99</v>
      </c>
      <c r="D22" s="287">
        <v>0</v>
      </c>
      <c r="E22" s="288">
        <v>0</v>
      </c>
      <c r="F22" s="288">
        <v>25200</v>
      </c>
      <c r="G22" s="289" t="s">
        <v>143</v>
      </c>
      <c r="H22" s="288">
        <v>0</v>
      </c>
      <c r="I22" s="288">
        <v>0</v>
      </c>
      <c r="J22" s="288">
        <v>18144</v>
      </c>
      <c r="K22" s="289" t="s">
        <v>143</v>
      </c>
      <c r="L22" s="212"/>
      <c r="N22" s="139"/>
      <c r="O22" s="326"/>
      <c r="P22" s="324">
        <f t="shared" si="1"/>
        <v>25200</v>
      </c>
      <c r="Q22" s="324">
        <f t="shared" si="2"/>
        <v>18144</v>
      </c>
      <c r="R22" s="325">
        <f t="shared" si="3"/>
        <v>0.72</v>
      </c>
      <c r="S22" s="139"/>
    </row>
    <row r="23" spans="2:19" s="204" customFormat="1" ht="15">
      <c r="B23" s="405"/>
      <c r="C23" s="296" t="s">
        <v>263</v>
      </c>
      <c r="D23" s="287">
        <v>0</v>
      </c>
      <c r="E23" s="288">
        <v>0</v>
      </c>
      <c r="F23" s="288">
        <v>3.3</v>
      </c>
      <c r="G23" s="289" t="s">
        <v>143</v>
      </c>
      <c r="H23" s="288">
        <v>0</v>
      </c>
      <c r="I23" s="288">
        <v>0</v>
      </c>
      <c r="J23" s="288">
        <v>12.96</v>
      </c>
      <c r="K23" s="289" t="s">
        <v>143</v>
      </c>
      <c r="L23" s="212"/>
      <c r="N23" s="139"/>
      <c r="O23" s="326"/>
      <c r="P23" s="324"/>
      <c r="Q23" s="324"/>
      <c r="R23" s="325"/>
      <c r="S23" s="139"/>
    </row>
    <row r="24" spans="2:18" ht="15">
      <c r="B24" s="121" t="s">
        <v>110</v>
      </c>
      <c r="C24" s="122"/>
      <c r="D24" s="58">
        <v>93000322.71010001</v>
      </c>
      <c r="E24" s="59">
        <v>93000322.71010001</v>
      </c>
      <c r="F24" s="59">
        <v>95236775.09619999</v>
      </c>
      <c r="G24" s="60">
        <v>2.404779167349158</v>
      </c>
      <c r="H24" s="59">
        <v>76925618.57</v>
      </c>
      <c r="I24" s="59">
        <v>76925618.57</v>
      </c>
      <c r="J24" s="59">
        <v>82348006.94999997</v>
      </c>
      <c r="K24" s="60">
        <v>7.04887198933053</v>
      </c>
      <c r="L24" s="106"/>
      <c r="M24" s="40"/>
      <c r="O24" s="327">
        <f>+J24/$J$103</f>
        <v>0.7926818640602413</v>
      </c>
      <c r="P24" s="324">
        <f t="shared" si="1"/>
        <v>2236452.3860999793</v>
      </c>
      <c r="Q24" s="324">
        <f t="shared" si="2"/>
        <v>5422388.37999998</v>
      </c>
      <c r="R24" s="325">
        <f t="shared" si="3"/>
        <v>0.864666058534837</v>
      </c>
    </row>
    <row r="25" spans="2:18" ht="15" customHeight="1">
      <c r="B25" s="404" t="s">
        <v>89</v>
      </c>
      <c r="C25" s="305" t="s">
        <v>124</v>
      </c>
      <c r="D25" s="283">
        <v>662368.8621</v>
      </c>
      <c r="E25" s="284">
        <v>662368.8621</v>
      </c>
      <c r="F25" s="284">
        <v>594014.3076</v>
      </c>
      <c r="G25" s="285">
        <v>-10.319711328712843</v>
      </c>
      <c r="H25" s="284">
        <v>4593908.96</v>
      </c>
      <c r="I25" s="284">
        <v>4593908.96</v>
      </c>
      <c r="J25" s="284">
        <v>3919535.67</v>
      </c>
      <c r="K25" s="285">
        <v>-14.679726913874235</v>
      </c>
      <c r="L25" s="106"/>
      <c r="O25" s="328"/>
      <c r="P25" s="324">
        <f t="shared" si="1"/>
        <v>-68354.55450000009</v>
      </c>
      <c r="Q25" s="324">
        <f t="shared" si="2"/>
        <v>-674373.29</v>
      </c>
      <c r="R25" s="325">
        <f t="shared" si="3"/>
        <v>6.598385964533627</v>
      </c>
    </row>
    <row r="26" spans="2:18" ht="15">
      <c r="B26" s="401"/>
      <c r="C26" s="296" t="s">
        <v>126</v>
      </c>
      <c r="D26" s="287">
        <v>3256680</v>
      </c>
      <c r="E26" s="288">
        <v>3256680</v>
      </c>
      <c r="F26" s="288">
        <v>2474656.8</v>
      </c>
      <c r="G26" s="289">
        <v>-24.01289656951252</v>
      </c>
      <c r="H26" s="288">
        <v>3373007.56</v>
      </c>
      <c r="I26" s="288">
        <v>3373007.56</v>
      </c>
      <c r="J26" s="288">
        <v>2566092.42</v>
      </c>
      <c r="K26" s="289">
        <v>-23.922719580266815</v>
      </c>
      <c r="L26" s="106"/>
      <c r="O26" s="328"/>
      <c r="P26" s="324">
        <f t="shared" si="1"/>
        <v>-782023.2000000002</v>
      </c>
      <c r="Q26" s="324">
        <f t="shared" si="2"/>
        <v>-806915.1400000001</v>
      </c>
      <c r="R26" s="325">
        <f t="shared" si="3"/>
        <v>1.0369488084165854</v>
      </c>
    </row>
    <row r="27" spans="2:18" ht="15">
      <c r="B27" s="401"/>
      <c r="C27" s="296" t="s">
        <v>82</v>
      </c>
      <c r="D27" s="287">
        <v>238082.2595</v>
      </c>
      <c r="E27" s="288">
        <v>238082.2595</v>
      </c>
      <c r="F27" s="288">
        <v>240797.1</v>
      </c>
      <c r="G27" s="289">
        <v>1.1402951676036333</v>
      </c>
      <c r="H27" s="288">
        <v>1346779.91</v>
      </c>
      <c r="I27" s="288">
        <v>1346779.91</v>
      </c>
      <c r="J27" s="288">
        <v>1175078.93</v>
      </c>
      <c r="K27" s="289">
        <v>-12.749000688612888</v>
      </c>
      <c r="L27" s="106"/>
      <c r="O27" s="328"/>
      <c r="P27" s="324">
        <f t="shared" si="1"/>
        <v>2714.8405000000203</v>
      </c>
      <c r="Q27" s="324">
        <f t="shared" si="2"/>
        <v>-171700.97999999998</v>
      </c>
      <c r="R27" s="325">
        <f t="shared" si="3"/>
        <v>4.879954658922387</v>
      </c>
    </row>
    <row r="28" spans="2:18" ht="15">
      <c r="B28" s="401"/>
      <c r="C28" s="296" t="s">
        <v>75</v>
      </c>
      <c r="D28" s="287">
        <v>19039.5777</v>
      </c>
      <c r="E28" s="288">
        <v>19039.5777</v>
      </c>
      <c r="F28" s="288">
        <v>7998.32</v>
      </c>
      <c r="G28" s="289">
        <v>-57.99108506487516</v>
      </c>
      <c r="H28" s="288">
        <v>107925.38</v>
      </c>
      <c r="I28" s="288">
        <v>107925.38</v>
      </c>
      <c r="J28" s="288">
        <v>30243.08</v>
      </c>
      <c r="K28" s="289">
        <v>-71.977786874598</v>
      </c>
      <c r="L28" s="106"/>
      <c r="O28" s="328"/>
      <c r="P28" s="324">
        <f t="shared" si="1"/>
        <v>-11041.257700000002</v>
      </c>
      <c r="Q28" s="324">
        <f t="shared" si="2"/>
        <v>-77682.3</v>
      </c>
      <c r="R28" s="325">
        <f t="shared" si="3"/>
        <v>3.7811790475999962</v>
      </c>
    </row>
    <row r="29" spans="2:18" ht="15">
      <c r="B29" s="401"/>
      <c r="C29" s="296" t="s">
        <v>77</v>
      </c>
      <c r="D29" s="287">
        <v>20000</v>
      </c>
      <c r="E29" s="288">
        <v>20000</v>
      </c>
      <c r="F29" s="288">
        <v>0</v>
      </c>
      <c r="G29" s="289">
        <v>-100</v>
      </c>
      <c r="H29" s="288">
        <v>45606</v>
      </c>
      <c r="I29" s="288">
        <v>45606</v>
      </c>
      <c r="J29" s="288">
        <v>0</v>
      </c>
      <c r="K29" s="289">
        <v>-100</v>
      </c>
      <c r="L29" s="106"/>
      <c r="O29" s="328"/>
      <c r="P29" s="324">
        <f t="shared" si="1"/>
        <v>-20000</v>
      </c>
      <c r="Q29" s="324">
        <f t="shared" si="2"/>
        <v>-45606</v>
      </c>
      <c r="R29" s="325">
        <f t="shared" si="3"/>
        <v>0</v>
      </c>
    </row>
    <row r="30" spans="2:18" ht="15">
      <c r="B30" s="401"/>
      <c r="C30" s="296" t="s">
        <v>79</v>
      </c>
      <c r="D30" s="287">
        <v>4727.2</v>
      </c>
      <c r="E30" s="288">
        <v>4727.2</v>
      </c>
      <c r="F30" s="288">
        <v>2134</v>
      </c>
      <c r="G30" s="289">
        <v>-54.85699779996616</v>
      </c>
      <c r="H30" s="288">
        <v>28164.08</v>
      </c>
      <c r="I30" s="288">
        <v>28164.08</v>
      </c>
      <c r="J30" s="288">
        <v>9813.99</v>
      </c>
      <c r="K30" s="289">
        <v>-65.15423191526229</v>
      </c>
      <c r="L30" s="106"/>
      <c r="O30" s="328"/>
      <c r="P30" s="324">
        <f t="shared" si="1"/>
        <v>-2593.2</v>
      </c>
      <c r="Q30" s="324">
        <f t="shared" si="2"/>
        <v>-18350.090000000004</v>
      </c>
      <c r="R30" s="325">
        <f t="shared" si="3"/>
        <v>4.598870665417057</v>
      </c>
    </row>
    <row r="31" spans="2:18" ht="15">
      <c r="B31" s="401"/>
      <c r="C31" s="296" t="s">
        <v>174</v>
      </c>
      <c r="D31" s="287">
        <v>4933.5</v>
      </c>
      <c r="E31" s="288">
        <v>4933.5</v>
      </c>
      <c r="F31" s="288">
        <v>0</v>
      </c>
      <c r="G31" s="289">
        <v>-100</v>
      </c>
      <c r="H31" s="288">
        <v>11618.94</v>
      </c>
      <c r="I31" s="288">
        <v>11618.94</v>
      </c>
      <c r="J31" s="288">
        <v>0</v>
      </c>
      <c r="K31" s="289">
        <v>-100</v>
      </c>
      <c r="L31" s="106"/>
      <c r="O31" s="328"/>
      <c r="P31" s="324">
        <f t="shared" si="1"/>
        <v>-4933.5</v>
      </c>
      <c r="Q31" s="324">
        <f t="shared" si="2"/>
        <v>-11618.94</v>
      </c>
      <c r="R31" s="325">
        <f t="shared" si="3"/>
        <v>0</v>
      </c>
    </row>
    <row r="32" spans="2:18" ht="15">
      <c r="B32" s="401"/>
      <c r="C32" s="296" t="s">
        <v>76</v>
      </c>
      <c r="D32" s="287">
        <v>578.76</v>
      </c>
      <c r="E32" s="288">
        <v>578.76</v>
      </c>
      <c r="F32" s="288">
        <v>514.8</v>
      </c>
      <c r="G32" s="289">
        <v>-11.051212938005396</v>
      </c>
      <c r="H32" s="288">
        <v>7260.14</v>
      </c>
      <c r="I32" s="288">
        <v>7260.14</v>
      </c>
      <c r="J32" s="288">
        <v>3918.34</v>
      </c>
      <c r="K32" s="289">
        <v>-46.02941541072211</v>
      </c>
      <c r="L32" s="106"/>
      <c r="O32" s="328"/>
      <c r="P32" s="324">
        <f t="shared" si="1"/>
        <v>-63.960000000000036</v>
      </c>
      <c r="Q32" s="324">
        <f t="shared" si="2"/>
        <v>-3341.8</v>
      </c>
      <c r="R32" s="325">
        <f t="shared" si="3"/>
        <v>7.611383061383062</v>
      </c>
    </row>
    <row r="33" spans="2:18" ht="15">
      <c r="B33" s="401"/>
      <c r="C33" s="296" t="s">
        <v>99</v>
      </c>
      <c r="D33" s="287">
        <v>7200</v>
      </c>
      <c r="E33" s="288">
        <v>7200</v>
      </c>
      <c r="F33" s="288">
        <v>0</v>
      </c>
      <c r="G33" s="289">
        <v>-100</v>
      </c>
      <c r="H33" s="288">
        <v>6055.22</v>
      </c>
      <c r="I33" s="288">
        <v>6055.22</v>
      </c>
      <c r="J33" s="288">
        <v>0</v>
      </c>
      <c r="K33" s="289">
        <v>-100</v>
      </c>
      <c r="L33" s="106"/>
      <c r="O33" s="328"/>
      <c r="P33" s="324">
        <f t="shared" si="1"/>
        <v>-7200</v>
      </c>
      <c r="Q33" s="324">
        <f t="shared" si="2"/>
        <v>-6055.22</v>
      </c>
      <c r="R33" s="325">
        <f t="shared" si="3"/>
        <v>0</v>
      </c>
    </row>
    <row r="34" spans="2:18" ht="15">
      <c r="B34" s="401"/>
      <c r="C34" s="296" t="s">
        <v>101</v>
      </c>
      <c r="D34" s="287">
        <v>2330.88</v>
      </c>
      <c r="E34" s="288">
        <v>2330.88</v>
      </c>
      <c r="F34" s="288">
        <v>474.4015</v>
      </c>
      <c r="G34" s="289">
        <v>-79.64710753020319</v>
      </c>
      <c r="H34" s="288">
        <v>5725.8</v>
      </c>
      <c r="I34" s="288">
        <v>5725.8</v>
      </c>
      <c r="J34" s="288">
        <v>1944.21</v>
      </c>
      <c r="K34" s="289">
        <v>-66.04474483914912</v>
      </c>
      <c r="L34" s="106"/>
      <c r="O34" s="328"/>
      <c r="P34" s="324">
        <f t="shared" si="1"/>
        <v>-1856.4785000000002</v>
      </c>
      <c r="Q34" s="324">
        <f t="shared" si="2"/>
        <v>-3781.59</v>
      </c>
      <c r="R34" s="325">
        <f t="shared" si="3"/>
        <v>4.098237463414429</v>
      </c>
    </row>
    <row r="35" spans="2:18" ht="15">
      <c r="B35" s="401"/>
      <c r="C35" s="296" t="s">
        <v>96</v>
      </c>
      <c r="D35" s="287">
        <v>3110.8077</v>
      </c>
      <c r="E35" s="288">
        <v>3110.8077</v>
      </c>
      <c r="F35" s="288">
        <v>182120.899</v>
      </c>
      <c r="G35" s="289">
        <v>5754.456995204172</v>
      </c>
      <c r="H35" s="288">
        <v>4846.97</v>
      </c>
      <c r="I35" s="288">
        <v>4846.97</v>
      </c>
      <c r="J35" s="288">
        <v>912248.83</v>
      </c>
      <c r="K35" s="289">
        <v>18721.01250884573</v>
      </c>
      <c r="L35" s="106"/>
      <c r="O35" s="328"/>
      <c r="P35" s="324">
        <f t="shared" si="1"/>
        <v>179010.0913</v>
      </c>
      <c r="Q35" s="324">
        <f t="shared" si="2"/>
        <v>907401.86</v>
      </c>
      <c r="R35" s="325">
        <f t="shared" si="3"/>
        <v>5.009028810032395</v>
      </c>
    </row>
    <row r="36" spans="2:18" ht="15">
      <c r="B36" s="401"/>
      <c r="C36" s="296" t="s">
        <v>116</v>
      </c>
      <c r="D36" s="287">
        <v>77.05</v>
      </c>
      <c r="E36" s="288">
        <v>77.05</v>
      </c>
      <c r="F36" s="288">
        <v>35825.33</v>
      </c>
      <c r="G36" s="289">
        <v>46396.21025308241</v>
      </c>
      <c r="H36" s="288">
        <v>1873.64</v>
      </c>
      <c r="I36" s="288">
        <v>1873.64</v>
      </c>
      <c r="J36" s="288">
        <v>178474.73</v>
      </c>
      <c r="K36" s="289">
        <v>9425.561473922418</v>
      </c>
      <c r="L36" s="106"/>
      <c r="O36" s="328"/>
      <c r="P36" s="324">
        <f t="shared" si="1"/>
        <v>35748.28</v>
      </c>
      <c r="Q36" s="324">
        <f t="shared" si="2"/>
        <v>176601.09</v>
      </c>
      <c r="R36" s="325">
        <f t="shared" si="3"/>
        <v>4.981802819401803</v>
      </c>
    </row>
    <row r="37" spans="2:18" ht="15">
      <c r="B37" s="401"/>
      <c r="C37" s="296" t="s">
        <v>100</v>
      </c>
      <c r="D37" s="287">
        <v>353</v>
      </c>
      <c r="E37" s="288">
        <v>353</v>
      </c>
      <c r="F37" s="288">
        <v>1015.5</v>
      </c>
      <c r="G37" s="289">
        <v>187.67705382436262</v>
      </c>
      <c r="H37" s="288">
        <v>1655.98</v>
      </c>
      <c r="I37" s="288">
        <v>1655.98</v>
      </c>
      <c r="J37" s="288">
        <v>4649.29</v>
      </c>
      <c r="K37" s="289">
        <v>180.75761784562613</v>
      </c>
      <c r="L37" s="106"/>
      <c r="O37" s="328"/>
      <c r="P37" s="324">
        <f t="shared" si="1"/>
        <v>662.5</v>
      </c>
      <c r="Q37" s="324">
        <f t="shared" si="2"/>
        <v>2993.31</v>
      </c>
      <c r="R37" s="325">
        <f t="shared" si="3"/>
        <v>4.578325947808961</v>
      </c>
    </row>
    <row r="38" spans="2:18" ht="15">
      <c r="B38" s="401"/>
      <c r="C38" s="296" t="s">
        <v>97</v>
      </c>
      <c r="D38" s="287">
        <v>160</v>
      </c>
      <c r="E38" s="288">
        <v>160</v>
      </c>
      <c r="F38" s="288">
        <v>0</v>
      </c>
      <c r="G38" s="289">
        <v>-100</v>
      </c>
      <c r="H38" s="288">
        <v>1123.27</v>
      </c>
      <c r="I38" s="288">
        <v>1123.27</v>
      </c>
      <c r="J38" s="288">
        <v>0</v>
      </c>
      <c r="K38" s="289">
        <v>-100</v>
      </c>
      <c r="L38" s="106"/>
      <c r="O38" s="328"/>
      <c r="P38" s="324">
        <f t="shared" si="1"/>
        <v>-160</v>
      </c>
      <c r="Q38" s="324">
        <f t="shared" si="2"/>
        <v>-1123.27</v>
      </c>
      <c r="R38" s="325">
        <f t="shared" si="3"/>
        <v>0</v>
      </c>
    </row>
    <row r="39" spans="2:18" ht="15">
      <c r="B39" s="401"/>
      <c r="C39" s="296" t="s">
        <v>162</v>
      </c>
      <c r="D39" s="287">
        <v>69.53</v>
      </c>
      <c r="E39" s="288">
        <v>69.53</v>
      </c>
      <c r="F39" s="288">
        <v>80.24</v>
      </c>
      <c r="G39" s="289">
        <v>15.403422982885084</v>
      </c>
      <c r="H39" s="288">
        <v>510.15</v>
      </c>
      <c r="I39" s="288">
        <v>510.15</v>
      </c>
      <c r="J39" s="288">
        <v>825.82</v>
      </c>
      <c r="K39" s="289">
        <v>61.877879055179875</v>
      </c>
      <c r="L39" s="106"/>
      <c r="O39" s="328"/>
      <c r="P39" s="324">
        <f t="shared" si="1"/>
        <v>10.709999999999994</v>
      </c>
      <c r="Q39" s="324">
        <f t="shared" si="2"/>
        <v>315.6700000000001</v>
      </c>
      <c r="R39" s="325">
        <f t="shared" si="3"/>
        <v>10.291874376869393</v>
      </c>
    </row>
    <row r="40" spans="2:18" ht="15">
      <c r="B40" s="401"/>
      <c r="C40" s="296" t="s">
        <v>190</v>
      </c>
      <c r="D40" s="287">
        <v>3</v>
      </c>
      <c r="E40" s="288">
        <v>3</v>
      </c>
      <c r="F40" s="288">
        <v>0</v>
      </c>
      <c r="G40" s="289">
        <v>-100</v>
      </c>
      <c r="H40" s="288">
        <v>230.91</v>
      </c>
      <c r="I40" s="288">
        <v>230.91</v>
      </c>
      <c r="J40" s="288">
        <v>0</v>
      </c>
      <c r="K40" s="289">
        <v>-100</v>
      </c>
      <c r="L40" s="106"/>
      <c r="O40" s="328"/>
      <c r="P40" s="324">
        <f t="shared" si="1"/>
        <v>-3</v>
      </c>
      <c r="Q40" s="324">
        <f t="shared" si="2"/>
        <v>-230.91</v>
      </c>
      <c r="R40" s="325">
        <f t="shared" si="3"/>
        <v>0</v>
      </c>
    </row>
    <row r="41" spans="2:18" ht="15">
      <c r="B41" s="401"/>
      <c r="C41" s="296" t="s">
        <v>95</v>
      </c>
      <c r="D41" s="287">
        <v>3.34</v>
      </c>
      <c r="E41" s="288">
        <v>3.34</v>
      </c>
      <c r="F41" s="288">
        <v>0</v>
      </c>
      <c r="G41" s="289">
        <v>-100</v>
      </c>
      <c r="H41" s="288">
        <v>139.17</v>
      </c>
      <c r="I41" s="288">
        <v>139.17</v>
      </c>
      <c r="J41" s="288">
        <v>0</v>
      </c>
      <c r="K41" s="289">
        <v>-100</v>
      </c>
      <c r="L41" s="106"/>
      <c r="O41" s="328"/>
      <c r="P41" s="324">
        <f t="shared" si="1"/>
        <v>-3.34</v>
      </c>
      <c r="Q41" s="324">
        <f t="shared" si="2"/>
        <v>-139.17</v>
      </c>
      <c r="R41" s="325">
        <f t="shared" si="3"/>
        <v>0</v>
      </c>
    </row>
    <row r="42" spans="2:18" ht="15">
      <c r="B42" s="401"/>
      <c r="C42" s="296" t="s">
        <v>184</v>
      </c>
      <c r="D42" s="287">
        <v>10.05</v>
      </c>
      <c r="E42" s="288">
        <v>10.05</v>
      </c>
      <c r="F42" s="288">
        <v>0</v>
      </c>
      <c r="G42" s="289">
        <v>-100</v>
      </c>
      <c r="H42" s="288">
        <v>51.27</v>
      </c>
      <c r="I42" s="288">
        <v>51.27</v>
      </c>
      <c r="J42" s="288">
        <v>0</v>
      </c>
      <c r="K42" s="289">
        <v>-100</v>
      </c>
      <c r="L42" s="106"/>
      <c r="O42" s="328"/>
      <c r="P42" s="324">
        <f t="shared" si="1"/>
        <v>-10.05</v>
      </c>
      <c r="Q42" s="324">
        <f t="shared" si="2"/>
        <v>-51.27</v>
      </c>
      <c r="R42" s="325">
        <f t="shared" si="3"/>
        <v>0</v>
      </c>
    </row>
    <row r="43" spans="2:18" ht="15">
      <c r="B43" s="401"/>
      <c r="C43" s="296" t="s">
        <v>94</v>
      </c>
      <c r="D43" s="287">
        <v>0</v>
      </c>
      <c r="E43" s="288">
        <v>0</v>
      </c>
      <c r="F43" s="288">
        <v>44.6602</v>
      </c>
      <c r="G43" s="289" t="s">
        <v>143</v>
      </c>
      <c r="H43" s="288">
        <v>0</v>
      </c>
      <c r="I43" s="288">
        <v>0</v>
      </c>
      <c r="J43" s="288">
        <v>533.69</v>
      </c>
      <c r="K43" s="289" t="s">
        <v>143</v>
      </c>
      <c r="L43" s="106"/>
      <c r="O43" s="328"/>
      <c r="P43" s="324">
        <f t="shared" si="1"/>
        <v>44.6602</v>
      </c>
      <c r="Q43" s="324">
        <f t="shared" si="2"/>
        <v>533.69</v>
      </c>
      <c r="R43" s="325">
        <f t="shared" si="3"/>
        <v>11.950013658693871</v>
      </c>
    </row>
    <row r="44" spans="2:19" s="204" customFormat="1" ht="15">
      <c r="B44" s="401"/>
      <c r="C44" s="296" t="s">
        <v>74</v>
      </c>
      <c r="D44" s="287">
        <v>0</v>
      </c>
      <c r="E44" s="288">
        <v>0</v>
      </c>
      <c r="F44" s="288">
        <v>43202.5192</v>
      </c>
      <c r="G44" s="289" t="s">
        <v>143</v>
      </c>
      <c r="H44" s="288">
        <v>0</v>
      </c>
      <c r="I44" s="288">
        <v>0</v>
      </c>
      <c r="J44" s="288">
        <v>54652.5</v>
      </c>
      <c r="K44" s="289" t="s">
        <v>143</v>
      </c>
      <c r="L44" s="212"/>
      <c r="N44" s="139"/>
      <c r="O44" s="328"/>
      <c r="P44" s="324">
        <f t="shared" si="1"/>
        <v>43202.5192</v>
      </c>
      <c r="Q44" s="324">
        <f t="shared" si="2"/>
        <v>54652.5</v>
      </c>
      <c r="R44" s="325">
        <f t="shared" si="3"/>
        <v>1.2650303966533507</v>
      </c>
      <c r="S44" s="139"/>
    </row>
    <row r="45" spans="2:19" s="204" customFormat="1" ht="15">
      <c r="B45" s="401"/>
      <c r="C45" s="296" t="s">
        <v>93</v>
      </c>
      <c r="D45" s="287">
        <v>0</v>
      </c>
      <c r="E45" s="288">
        <v>0</v>
      </c>
      <c r="F45" s="288">
        <v>2467.2</v>
      </c>
      <c r="G45" s="289" t="s">
        <v>143</v>
      </c>
      <c r="H45" s="288">
        <v>0</v>
      </c>
      <c r="I45" s="288">
        <v>0</v>
      </c>
      <c r="J45" s="288">
        <v>6526.12</v>
      </c>
      <c r="K45" s="289" t="s">
        <v>143</v>
      </c>
      <c r="L45" s="212"/>
      <c r="N45" s="139"/>
      <c r="O45" s="328"/>
      <c r="P45" s="324">
        <f t="shared" si="1"/>
        <v>2467.2</v>
      </c>
      <c r="Q45" s="324">
        <f t="shared" si="2"/>
        <v>6526.12</v>
      </c>
      <c r="R45" s="325">
        <f t="shared" si="3"/>
        <v>2.6451523994811934</v>
      </c>
      <c r="S45" s="139"/>
    </row>
    <row r="46" spans="2:19" s="204" customFormat="1" ht="15">
      <c r="B46" s="401"/>
      <c r="C46" s="296" t="s">
        <v>98</v>
      </c>
      <c r="D46" s="287">
        <v>0</v>
      </c>
      <c r="E46" s="288">
        <v>0</v>
      </c>
      <c r="F46" s="288">
        <v>938570</v>
      </c>
      <c r="G46" s="289" t="s">
        <v>143</v>
      </c>
      <c r="H46" s="288">
        <v>0</v>
      </c>
      <c r="I46" s="288">
        <v>0</v>
      </c>
      <c r="J46" s="288">
        <v>1468278.25</v>
      </c>
      <c r="K46" s="289" t="s">
        <v>143</v>
      </c>
      <c r="L46" s="212"/>
      <c r="N46" s="139"/>
      <c r="O46" s="328"/>
      <c r="P46" s="324">
        <f t="shared" si="1"/>
        <v>938570</v>
      </c>
      <c r="Q46" s="324">
        <f t="shared" si="2"/>
        <v>1468278.25</v>
      </c>
      <c r="R46" s="325">
        <f t="shared" si="3"/>
        <v>1.564377989920837</v>
      </c>
      <c r="S46" s="139"/>
    </row>
    <row r="47" spans="2:19" s="204" customFormat="1" ht="15">
      <c r="B47" s="405"/>
      <c r="C47" s="296" t="s">
        <v>78</v>
      </c>
      <c r="D47" s="287">
        <v>0</v>
      </c>
      <c r="E47" s="288">
        <v>0</v>
      </c>
      <c r="F47" s="288">
        <v>3600</v>
      </c>
      <c r="G47" s="289" t="s">
        <v>143</v>
      </c>
      <c r="H47" s="288">
        <v>0</v>
      </c>
      <c r="I47" s="288">
        <v>0</v>
      </c>
      <c r="J47" s="288">
        <v>597.7</v>
      </c>
      <c r="K47" s="289" t="s">
        <v>143</v>
      </c>
      <c r="L47" s="212"/>
      <c r="N47" s="139"/>
      <c r="O47" s="328"/>
      <c r="P47" s="324">
        <f t="shared" si="1"/>
        <v>3600</v>
      </c>
      <c r="Q47" s="324">
        <f t="shared" si="2"/>
        <v>597.7</v>
      </c>
      <c r="R47" s="325">
        <f t="shared" si="3"/>
        <v>0.1660277777777778</v>
      </c>
      <c r="S47" s="139"/>
    </row>
    <row r="48" spans="2:18" ht="15">
      <c r="B48" s="121" t="s">
        <v>111</v>
      </c>
      <c r="C48" s="122"/>
      <c r="D48" s="58">
        <v>4219727.816999999</v>
      </c>
      <c r="E48" s="59">
        <v>4219727.816999999</v>
      </c>
      <c r="F48" s="59">
        <v>4527516.0775</v>
      </c>
      <c r="G48" s="60">
        <v>7.294031128264145</v>
      </c>
      <c r="H48" s="59">
        <v>9536483.35</v>
      </c>
      <c r="I48" s="59">
        <v>9536483.35</v>
      </c>
      <c r="J48" s="59">
        <v>10333413.57</v>
      </c>
      <c r="K48" s="60">
        <v>8.356646687796099</v>
      </c>
      <c r="L48" s="106"/>
      <c r="O48" s="327">
        <f>+J48/$J$103</f>
        <v>0.09946943264512118</v>
      </c>
      <c r="P48" s="324">
        <f t="shared" si="1"/>
        <v>307788.2605000008</v>
      </c>
      <c r="Q48" s="324">
        <f t="shared" si="2"/>
        <v>796930.2200000007</v>
      </c>
      <c r="R48" s="325">
        <f t="shared" si="3"/>
        <v>2.2823582275837873</v>
      </c>
    </row>
    <row r="49" spans="2:18" ht="15">
      <c r="B49" s="410" t="s">
        <v>73</v>
      </c>
      <c r="C49" s="296" t="s">
        <v>93</v>
      </c>
      <c r="D49" s="287">
        <v>2660412.816</v>
      </c>
      <c r="E49" s="288">
        <v>2660412.816</v>
      </c>
      <c r="F49" s="288">
        <v>3356955.862</v>
      </c>
      <c r="G49" s="289">
        <v>26.181765544464298</v>
      </c>
      <c r="H49" s="288">
        <v>3289548.32</v>
      </c>
      <c r="I49" s="288">
        <v>3289548.32</v>
      </c>
      <c r="J49" s="288">
        <v>4107128.67</v>
      </c>
      <c r="K49" s="289">
        <v>24.853878723386558</v>
      </c>
      <c r="L49" s="107"/>
      <c r="O49" s="328"/>
      <c r="P49" s="324">
        <f t="shared" si="1"/>
        <v>696543.0460000001</v>
      </c>
      <c r="Q49" s="324">
        <f t="shared" si="2"/>
        <v>817580.3500000001</v>
      </c>
      <c r="R49" s="325">
        <f t="shared" si="3"/>
        <v>1.2234681773721812</v>
      </c>
    </row>
    <row r="50" spans="2:18" ht="15">
      <c r="B50" s="411"/>
      <c r="C50" s="296" t="s">
        <v>126</v>
      </c>
      <c r="D50" s="287">
        <v>2234673.5538</v>
      </c>
      <c r="E50" s="288">
        <v>2234673.5538</v>
      </c>
      <c r="F50" s="288">
        <v>1848136.1</v>
      </c>
      <c r="G50" s="289">
        <v>-17.29726711728</v>
      </c>
      <c r="H50" s="288">
        <v>2868270.42</v>
      </c>
      <c r="I50" s="288">
        <v>2868270.42</v>
      </c>
      <c r="J50" s="288">
        <v>2229245.02</v>
      </c>
      <c r="K50" s="289">
        <v>-22.279119693323757</v>
      </c>
      <c r="L50" s="106"/>
      <c r="O50" s="328"/>
      <c r="P50" s="324">
        <f t="shared" si="1"/>
        <v>-386537.4537999998</v>
      </c>
      <c r="Q50" s="324">
        <f t="shared" si="2"/>
        <v>-639025.3999999999</v>
      </c>
      <c r="R50" s="325">
        <f t="shared" si="3"/>
        <v>1.2062125835862412</v>
      </c>
    </row>
    <row r="51" spans="2:18" ht="15">
      <c r="B51" s="411"/>
      <c r="C51" s="296" t="s">
        <v>124</v>
      </c>
      <c r="D51" s="287">
        <v>935896.8542</v>
      </c>
      <c r="E51" s="288">
        <v>935896.8542</v>
      </c>
      <c r="F51" s="288">
        <v>949902.502</v>
      </c>
      <c r="G51" s="289">
        <v>1.496494804651527</v>
      </c>
      <c r="H51" s="288">
        <v>1328296.29</v>
      </c>
      <c r="I51" s="288">
        <v>1328296.29</v>
      </c>
      <c r="J51" s="288">
        <v>1392843.82</v>
      </c>
      <c r="K51" s="289">
        <v>4.85942259162675</v>
      </c>
      <c r="L51" s="106"/>
      <c r="O51" s="328"/>
      <c r="P51" s="324">
        <f t="shared" si="1"/>
        <v>14005.647800000035</v>
      </c>
      <c r="Q51" s="324">
        <f t="shared" si="2"/>
        <v>64547.53000000003</v>
      </c>
      <c r="R51" s="325">
        <f t="shared" si="3"/>
        <v>1.4663018752634047</v>
      </c>
    </row>
    <row r="52" spans="2:18" ht="15">
      <c r="B52" s="411"/>
      <c r="C52" s="296" t="s">
        <v>99</v>
      </c>
      <c r="D52" s="287">
        <v>695525</v>
      </c>
      <c r="E52" s="288">
        <v>695525</v>
      </c>
      <c r="F52" s="288">
        <v>108900</v>
      </c>
      <c r="G52" s="289">
        <v>-84.34276266129902</v>
      </c>
      <c r="H52" s="288">
        <v>883600.42</v>
      </c>
      <c r="I52" s="288">
        <v>883600.42</v>
      </c>
      <c r="J52" s="288">
        <v>140524.55</v>
      </c>
      <c r="K52" s="289">
        <v>-84.09636903522522</v>
      </c>
      <c r="L52" s="106"/>
      <c r="O52" s="328"/>
      <c r="P52" s="324">
        <f t="shared" si="1"/>
        <v>-586625</v>
      </c>
      <c r="Q52" s="324">
        <f t="shared" si="2"/>
        <v>-743075.8700000001</v>
      </c>
      <c r="R52" s="325">
        <f t="shared" si="3"/>
        <v>1.2903999081726354</v>
      </c>
    </row>
    <row r="53" spans="2:18" ht="15">
      <c r="B53" s="411"/>
      <c r="C53" s="296" t="s">
        <v>178</v>
      </c>
      <c r="D53" s="287">
        <v>595511.8538</v>
      </c>
      <c r="E53" s="288">
        <v>595511.8538</v>
      </c>
      <c r="F53" s="288">
        <v>523656.06</v>
      </c>
      <c r="G53" s="289">
        <v>-12.066223928454745</v>
      </c>
      <c r="H53" s="288">
        <v>678360</v>
      </c>
      <c r="I53" s="288">
        <v>678360</v>
      </c>
      <c r="J53" s="288">
        <v>582349.06</v>
      </c>
      <c r="K53" s="289">
        <v>-14.153390530102005</v>
      </c>
      <c r="L53" s="106"/>
      <c r="O53" s="328"/>
      <c r="P53" s="324">
        <f t="shared" si="1"/>
        <v>-71855.79380000004</v>
      </c>
      <c r="Q53" s="324">
        <f t="shared" si="2"/>
        <v>-96010.93999999994</v>
      </c>
      <c r="R53" s="325">
        <f t="shared" si="3"/>
        <v>1.1120831104293916</v>
      </c>
    </row>
    <row r="54" spans="2:18" ht="15">
      <c r="B54" s="411"/>
      <c r="C54" s="296" t="s">
        <v>94</v>
      </c>
      <c r="D54" s="287">
        <v>310824.5</v>
      </c>
      <c r="E54" s="288">
        <v>310824.5</v>
      </c>
      <c r="F54" s="288">
        <v>206044.8</v>
      </c>
      <c r="G54" s="289">
        <v>-33.71024484878124</v>
      </c>
      <c r="H54" s="288">
        <v>403314.86</v>
      </c>
      <c r="I54" s="288">
        <v>403314.86</v>
      </c>
      <c r="J54" s="288">
        <v>281750</v>
      </c>
      <c r="K54" s="289">
        <v>-30.14142846112836</v>
      </c>
      <c r="L54" s="106"/>
      <c r="O54" s="328"/>
      <c r="P54" s="324">
        <f t="shared" si="1"/>
        <v>-104779.70000000001</v>
      </c>
      <c r="Q54" s="324">
        <f t="shared" si="2"/>
        <v>-121564.85999999999</v>
      </c>
      <c r="R54" s="325">
        <f t="shared" si="3"/>
        <v>1.3674210657099817</v>
      </c>
    </row>
    <row r="55" spans="2:18" ht="15">
      <c r="B55" s="411"/>
      <c r="C55" s="296" t="s">
        <v>96</v>
      </c>
      <c r="D55" s="287">
        <v>595</v>
      </c>
      <c r="E55" s="288">
        <v>595</v>
      </c>
      <c r="F55" s="288">
        <v>0</v>
      </c>
      <c r="G55" s="289">
        <v>-100</v>
      </c>
      <c r="H55" s="288">
        <v>1133.24</v>
      </c>
      <c r="I55" s="288">
        <v>1133.24</v>
      </c>
      <c r="J55" s="288">
        <v>0</v>
      </c>
      <c r="K55" s="289">
        <v>-100</v>
      </c>
      <c r="L55" s="106"/>
      <c r="O55" s="328"/>
      <c r="P55" s="324">
        <f t="shared" si="1"/>
        <v>-595</v>
      </c>
      <c r="Q55" s="324">
        <f t="shared" si="2"/>
        <v>-1133.24</v>
      </c>
      <c r="R55" s="325">
        <f t="shared" si="3"/>
        <v>0</v>
      </c>
    </row>
    <row r="56" spans="2:19" s="204" customFormat="1" ht="15">
      <c r="B56" s="411"/>
      <c r="C56" s="296" t="s">
        <v>116</v>
      </c>
      <c r="D56" s="287">
        <v>24.3</v>
      </c>
      <c r="E56" s="288">
        <v>24.3</v>
      </c>
      <c r="F56" s="288">
        <v>16.5</v>
      </c>
      <c r="G56" s="289">
        <v>-32.098765432098766</v>
      </c>
      <c r="H56" s="288">
        <v>406.01</v>
      </c>
      <c r="I56" s="288">
        <v>406.01</v>
      </c>
      <c r="J56" s="288">
        <v>348.7</v>
      </c>
      <c r="K56" s="289">
        <v>-14.11541587645625</v>
      </c>
      <c r="L56" s="212"/>
      <c r="N56" s="139"/>
      <c r="O56" s="328"/>
      <c r="P56" s="324">
        <f t="shared" si="1"/>
        <v>-7.800000000000001</v>
      </c>
      <c r="Q56" s="324">
        <f t="shared" si="2"/>
        <v>-57.31</v>
      </c>
      <c r="R56" s="325">
        <f t="shared" si="3"/>
        <v>21.133333333333333</v>
      </c>
      <c r="S56" s="139"/>
    </row>
    <row r="57" spans="2:19" s="204" customFormat="1" ht="15">
      <c r="B57" s="411"/>
      <c r="C57" s="296" t="s">
        <v>174</v>
      </c>
      <c r="D57" s="287">
        <v>4</v>
      </c>
      <c r="E57" s="288">
        <v>4</v>
      </c>
      <c r="F57" s="288">
        <v>9</v>
      </c>
      <c r="G57" s="289">
        <v>125</v>
      </c>
      <c r="H57" s="288">
        <v>67.16</v>
      </c>
      <c r="I57" s="288">
        <v>67.16</v>
      </c>
      <c r="J57" s="288">
        <v>170.42</v>
      </c>
      <c r="K57" s="289">
        <v>153.75223347230494</v>
      </c>
      <c r="L57" s="212"/>
      <c r="N57" s="139"/>
      <c r="O57" s="328"/>
      <c r="P57" s="324">
        <f t="shared" si="1"/>
        <v>5</v>
      </c>
      <c r="Q57" s="324">
        <f t="shared" si="2"/>
        <v>103.25999999999999</v>
      </c>
      <c r="R57" s="325">
        <f t="shared" si="3"/>
        <v>18.935555555555553</v>
      </c>
      <c r="S57" s="139"/>
    </row>
    <row r="58" spans="2:19" s="204" customFormat="1" ht="15">
      <c r="B58" s="411"/>
      <c r="C58" s="296" t="s">
        <v>75</v>
      </c>
      <c r="D58" s="287">
        <v>0</v>
      </c>
      <c r="E58" s="288">
        <v>0</v>
      </c>
      <c r="F58" s="288">
        <v>140</v>
      </c>
      <c r="G58" s="289" t="s">
        <v>143</v>
      </c>
      <c r="H58" s="288">
        <v>0</v>
      </c>
      <c r="I58" s="288">
        <v>0</v>
      </c>
      <c r="J58" s="288">
        <v>1891.74</v>
      </c>
      <c r="K58" s="289" t="s">
        <v>143</v>
      </c>
      <c r="L58" s="212"/>
      <c r="N58" s="139"/>
      <c r="O58" s="328"/>
      <c r="P58" s="324">
        <f t="shared" si="1"/>
        <v>140</v>
      </c>
      <c r="Q58" s="324">
        <f t="shared" si="2"/>
        <v>1891.74</v>
      </c>
      <c r="R58" s="325">
        <f t="shared" si="3"/>
        <v>13.512428571428572</v>
      </c>
      <c r="S58" s="139"/>
    </row>
    <row r="59" spans="2:19" s="204" customFormat="1" ht="15">
      <c r="B59" s="412"/>
      <c r="C59" s="211" t="s">
        <v>95</v>
      </c>
      <c r="D59" s="206">
        <v>0</v>
      </c>
      <c r="E59" s="207">
        <v>0</v>
      </c>
      <c r="F59" s="207">
        <v>15</v>
      </c>
      <c r="G59" s="208" t="s">
        <v>143</v>
      </c>
      <c r="H59" s="207">
        <v>0</v>
      </c>
      <c r="I59" s="207">
        <v>0</v>
      </c>
      <c r="J59" s="207">
        <v>20.85</v>
      </c>
      <c r="K59" s="208" t="s">
        <v>143</v>
      </c>
      <c r="L59" s="212"/>
      <c r="N59" s="139"/>
      <c r="O59" s="328"/>
      <c r="P59" s="324">
        <f t="shared" si="1"/>
        <v>15</v>
      </c>
      <c r="Q59" s="324">
        <f t="shared" si="2"/>
        <v>20.85</v>
      </c>
      <c r="R59" s="325">
        <f t="shared" si="3"/>
        <v>1.3900000000000001</v>
      </c>
      <c r="S59" s="139"/>
    </row>
    <row r="60" spans="2:18" ht="15">
      <c r="B60" s="330" t="s">
        <v>112</v>
      </c>
      <c r="C60" s="122"/>
      <c r="D60" s="58">
        <v>7433467.877799999</v>
      </c>
      <c r="E60" s="59">
        <v>7433467.877799999</v>
      </c>
      <c r="F60" s="59">
        <v>6993775.824</v>
      </c>
      <c r="G60" s="60">
        <v>-5.915032674226472</v>
      </c>
      <c r="H60" s="59">
        <v>9452996.719999999</v>
      </c>
      <c r="I60" s="59">
        <v>9452996.719999999</v>
      </c>
      <c r="J60" s="59">
        <v>8736272.83</v>
      </c>
      <c r="K60" s="60">
        <v>-7.581975443655908</v>
      </c>
      <c r="L60" s="106"/>
      <c r="O60" s="327">
        <f>+J60/$J$103</f>
        <v>0.08409535686793257</v>
      </c>
      <c r="P60" s="324">
        <f t="shared" si="1"/>
        <v>-439692.05379999895</v>
      </c>
      <c r="Q60" s="324">
        <f t="shared" si="2"/>
        <v>-716723.8899999987</v>
      </c>
      <c r="R60" s="325">
        <f t="shared" si="3"/>
        <v>1.2491496796366288</v>
      </c>
    </row>
    <row r="61" spans="2:18" ht="12.75" customHeight="1">
      <c r="B61" s="404" t="s">
        <v>81</v>
      </c>
      <c r="C61" s="296" t="s">
        <v>126</v>
      </c>
      <c r="D61" s="287">
        <v>570650</v>
      </c>
      <c r="E61" s="288">
        <v>570650</v>
      </c>
      <c r="F61" s="288">
        <v>513302.2692</v>
      </c>
      <c r="G61" s="289">
        <v>-10.04954539560151</v>
      </c>
      <c r="H61" s="288">
        <v>719399.28</v>
      </c>
      <c r="I61" s="288">
        <v>719399.28</v>
      </c>
      <c r="J61" s="288">
        <v>546199.5</v>
      </c>
      <c r="K61" s="289">
        <v>-24.075612085683495</v>
      </c>
      <c r="L61" s="106"/>
      <c r="O61" s="329"/>
      <c r="P61" s="324">
        <f t="shared" si="1"/>
        <v>-57347.73080000002</v>
      </c>
      <c r="Q61" s="324">
        <f t="shared" si="2"/>
        <v>-173199.78000000003</v>
      </c>
      <c r="R61" s="325">
        <f t="shared" si="3"/>
        <v>1.0640893928859336</v>
      </c>
    </row>
    <row r="62" spans="2:18" ht="12.75">
      <c r="B62" s="401"/>
      <c r="C62" s="296" t="s">
        <v>124</v>
      </c>
      <c r="D62" s="287">
        <v>273566.1</v>
      </c>
      <c r="E62" s="288">
        <v>273566.1</v>
      </c>
      <c r="F62" s="288">
        <v>323190</v>
      </c>
      <c r="G62" s="289">
        <v>18.1396379156628</v>
      </c>
      <c r="H62" s="288">
        <v>364902.47</v>
      </c>
      <c r="I62" s="288">
        <v>364902.47</v>
      </c>
      <c r="J62" s="288">
        <v>351811.57</v>
      </c>
      <c r="K62" s="289">
        <v>-3.5875065466122957</v>
      </c>
      <c r="L62" s="106"/>
      <c r="O62" s="329"/>
      <c r="P62" s="324">
        <f t="shared" si="1"/>
        <v>49623.90000000002</v>
      </c>
      <c r="Q62" s="324">
        <f t="shared" si="2"/>
        <v>-13090.899999999965</v>
      </c>
      <c r="R62" s="325">
        <f t="shared" si="3"/>
        <v>1.0885595779572388</v>
      </c>
    </row>
    <row r="63" spans="2:18" ht="12.75">
      <c r="B63" s="401"/>
      <c r="C63" s="296" t="s">
        <v>97</v>
      </c>
      <c r="D63" s="287">
        <v>357004.325</v>
      </c>
      <c r="E63" s="288">
        <v>357004.325</v>
      </c>
      <c r="F63" s="288">
        <v>210000</v>
      </c>
      <c r="G63" s="289">
        <v>-41.17718321759828</v>
      </c>
      <c r="H63" s="288">
        <v>258063.97</v>
      </c>
      <c r="I63" s="288">
        <v>258063.97</v>
      </c>
      <c r="J63" s="288">
        <v>149141.53</v>
      </c>
      <c r="K63" s="289">
        <v>-42.20753482169557</v>
      </c>
      <c r="L63" s="106"/>
      <c r="O63" s="329"/>
      <c r="P63" s="324">
        <f t="shared" si="1"/>
        <v>-147004.325</v>
      </c>
      <c r="Q63" s="324">
        <f t="shared" si="2"/>
        <v>-108922.44</v>
      </c>
      <c r="R63" s="325">
        <f t="shared" si="3"/>
        <v>0.7101977619047619</v>
      </c>
    </row>
    <row r="64" spans="2:18" ht="12.75">
      <c r="B64" s="401"/>
      <c r="C64" s="296" t="s">
        <v>99</v>
      </c>
      <c r="D64" s="287">
        <v>312850</v>
      </c>
      <c r="E64" s="288">
        <v>312850</v>
      </c>
      <c r="F64" s="288">
        <v>467750</v>
      </c>
      <c r="G64" s="289">
        <v>49.51254594853764</v>
      </c>
      <c r="H64" s="288">
        <v>232309.25</v>
      </c>
      <c r="I64" s="288">
        <v>232309.25</v>
      </c>
      <c r="J64" s="288">
        <v>336456.42</v>
      </c>
      <c r="K64" s="289">
        <v>44.83126263805681</v>
      </c>
      <c r="L64" s="107"/>
      <c r="O64" s="329"/>
      <c r="P64" s="324">
        <f t="shared" si="1"/>
        <v>154900</v>
      </c>
      <c r="Q64" s="324">
        <f t="shared" si="2"/>
        <v>104147.16999999998</v>
      </c>
      <c r="R64" s="325">
        <f t="shared" si="3"/>
        <v>0.7193082202030999</v>
      </c>
    </row>
    <row r="65" spans="2:18" ht="12.75">
      <c r="B65" s="401"/>
      <c r="C65" s="296" t="s">
        <v>93</v>
      </c>
      <c r="D65" s="287">
        <v>301525</v>
      </c>
      <c r="E65" s="288">
        <v>301525</v>
      </c>
      <c r="F65" s="288">
        <v>260000</v>
      </c>
      <c r="G65" s="289">
        <v>-13.771660724649692</v>
      </c>
      <c r="H65" s="288">
        <v>224159.39</v>
      </c>
      <c r="I65" s="288">
        <v>224159.39</v>
      </c>
      <c r="J65" s="288">
        <v>192440</v>
      </c>
      <c r="K65" s="289">
        <v>-14.150373089434265</v>
      </c>
      <c r="L65" s="107"/>
      <c r="O65" s="329"/>
      <c r="P65" s="324">
        <f t="shared" si="1"/>
        <v>-41525</v>
      </c>
      <c r="Q65" s="324">
        <f t="shared" si="2"/>
        <v>-31719.390000000014</v>
      </c>
      <c r="R65" s="325">
        <f t="shared" si="3"/>
        <v>0.7401538461538462</v>
      </c>
    </row>
    <row r="66" spans="2:18" ht="12.75">
      <c r="B66" s="401"/>
      <c r="C66" s="296" t="s">
        <v>95</v>
      </c>
      <c r="D66" s="287">
        <v>139000.5</v>
      </c>
      <c r="E66" s="288">
        <v>139000.5</v>
      </c>
      <c r="F66" s="288">
        <v>164606.3077</v>
      </c>
      <c r="G66" s="289">
        <v>18.421378124539125</v>
      </c>
      <c r="H66" s="288">
        <v>79274.37</v>
      </c>
      <c r="I66" s="288">
        <v>79274.37</v>
      </c>
      <c r="J66" s="288">
        <v>95734.19</v>
      </c>
      <c r="K66" s="289">
        <v>20.7631041407204</v>
      </c>
      <c r="L66" s="107"/>
      <c r="O66" s="329"/>
      <c r="P66" s="324">
        <f t="shared" si="1"/>
        <v>25605.807700000005</v>
      </c>
      <c r="Q66" s="324">
        <f t="shared" si="2"/>
        <v>16459.820000000007</v>
      </c>
      <c r="R66" s="325">
        <f t="shared" si="3"/>
        <v>0.5815949056732289</v>
      </c>
    </row>
    <row r="67" spans="2:18" ht="12.75">
      <c r="B67" s="401"/>
      <c r="C67" s="296" t="s">
        <v>98</v>
      </c>
      <c r="D67" s="287">
        <v>45520</v>
      </c>
      <c r="E67" s="288">
        <v>45520</v>
      </c>
      <c r="F67" s="288">
        <v>22000</v>
      </c>
      <c r="G67" s="289">
        <v>-51.66959578207382</v>
      </c>
      <c r="H67" s="288">
        <v>35848.67</v>
      </c>
      <c r="I67" s="288">
        <v>35848.67</v>
      </c>
      <c r="J67" s="288">
        <v>14365</v>
      </c>
      <c r="K67" s="289">
        <v>-59.9287783898259</v>
      </c>
      <c r="L67" s="106"/>
      <c r="O67" s="329"/>
      <c r="P67" s="324">
        <f t="shared" si="1"/>
        <v>-23520</v>
      </c>
      <c r="Q67" s="324">
        <f t="shared" si="2"/>
        <v>-21483.67</v>
      </c>
      <c r="R67" s="325">
        <f t="shared" si="3"/>
        <v>0.6529545454545455</v>
      </c>
    </row>
    <row r="68" spans="2:18" ht="12.75">
      <c r="B68" s="401"/>
      <c r="C68" s="296" t="s">
        <v>172</v>
      </c>
      <c r="D68" s="287">
        <v>40000</v>
      </c>
      <c r="E68" s="288">
        <v>40000</v>
      </c>
      <c r="F68" s="288">
        <v>140360</v>
      </c>
      <c r="G68" s="289">
        <v>250.89999999999998</v>
      </c>
      <c r="H68" s="288">
        <v>25635.99</v>
      </c>
      <c r="I68" s="288">
        <v>25635.99</v>
      </c>
      <c r="J68" s="288">
        <v>92357.54</v>
      </c>
      <c r="K68" s="289">
        <v>260.26515847447274</v>
      </c>
      <c r="L68" s="106"/>
      <c r="O68" s="329"/>
      <c r="P68" s="324">
        <f t="shared" si="1"/>
        <v>100360</v>
      </c>
      <c r="Q68" s="324">
        <f t="shared" si="2"/>
        <v>66721.54999999999</v>
      </c>
      <c r="R68" s="325">
        <f t="shared" si="3"/>
        <v>0.6580047021943574</v>
      </c>
    </row>
    <row r="69" spans="2:18" ht="12.75">
      <c r="B69" s="401"/>
      <c r="C69" s="296" t="s">
        <v>107</v>
      </c>
      <c r="D69" s="287">
        <v>17500</v>
      </c>
      <c r="E69" s="288">
        <v>17500</v>
      </c>
      <c r="F69" s="288">
        <v>17500</v>
      </c>
      <c r="G69" s="289">
        <v>0</v>
      </c>
      <c r="H69" s="288">
        <v>11645.79</v>
      </c>
      <c r="I69" s="288">
        <v>11645.79</v>
      </c>
      <c r="J69" s="288">
        <v>13410.36</v>
      </c>
      <c r="K69" s="289">
        <v>15.151999134451156</v>
      </c>
      <c r="L69" s="106"/>
      <c r="O69" s="329"/>
      <c r="P69" s="324">
        <f t="shared" si="1"/>
        <v>0</v>
      </c>
      <c r="Q69" s="324">
        <f t="shared" si="2"/>
        <v>1764.5699999999997</v>
      </c>
      <c r="R69" s="325">
        <f t="shared" si="3"/>
        <v>0.7663062857142857</v>
      </c>
    </row>
    <row r="70" spans="2:18" ht="12.75">
      <c r="B70" s="401"/>
      <c r="C70" s="296" t="s">
        <v>94</v>
      </c>
      <c r="D70" s="287">
        <v>10000</v>
      </c>
      <c r="E70" s="288">
        <v>10000</v>
      </c>
      <c r="F70" s="288">
        <v>0</v>
      </c>
      <c r="G70" s="289">
        <v>-100</v>
      </c>
      <c r="H70" s="288">
        <v>10385.13</v>
      </c>
      <c r="I70" s="288">
        <v>10385.13</v>
      </c>
      <c r="J70" s="288">
        <v>0</v>
      </c>
      <c r="K70" s="289">
        <v>-100</v>
      </c>
      <c r="L70" s="106"/>
      <c r="O70" s="329"/>
      <c r="P70" s="324">
        <f t="shared" si="1"/>
        <v>-10000</v>
      </c>
      <c r="Q70" s="324">
        <f t="shared" si="2"/>
        <v>-10385.13</v>
      </c>
      <c r="R70" s="325">
        <f t="shared" si="3"/>
        <v>0</v>
      </c>
    </row>
    <row r="71" spans="2:18" ht="12.75">
      <c r="B71" s="401"/>
      <c r="C71" s="296" t="s">
        <v>100</v>
      </c>
      <c r="D71" s="287">
        <v>7076</v>
      </c>
      <c r="E71" s="288">
        <v>7076</v>
      </c>
      <c r="F71" s="288">
        <v>3305.7837</v>
      </c>
      <c r="G71" s="289">
        <v>-53.281745336348216</v>
      </c>
      <c r="H71" s="288">
        <v>6012.93</v>
      </c>
      <c r="I71" s="288">
        <v>6012.93</v>
      </c>
      <c r="J71" s="288">
        <v>4200.84</v>
      </c>
      <c r="K71" s="289">
        <v>-30.13655572241819</v>
      </c>
      <c r="L71" s="106"/>
      <c r="O71" s="329"/>
      <c r="P71" s="324">
        <f t="shared" si="1"/>
        <v>-3770.2163</v>
      </c>
      <c r="Q71" s="324">
        <f t="shared" si="2"/>
        <v>-1812.0900000000001</v>
      </c>
      <c r="R71" s="325">
        <f t="shared" si="3"/>
        <v>1.2707546473775644</v>
      </c>
    </row>
    <row r="72" spans="2:18" ht="12.75">
      <c r="B72" s="401"/>
      <c r="C72" s="296" t="s">
        <v>162</v>
      </c>
      <c r="D72" s="287">
        <v>112.9692</v>
      </c>
      <c r="E72" s="288">
        <v>112.9692</v>
      </c>
      <c r="F72" s="288">
        <v>0</v>
      </c>
      <c r="G72" s="289">
        <v>-100</v>
      </c>
      <c r="H72" s="288">
        <v>724.35</v>
      </c>
      <c r="I72" s="288">
        <v>724.35</v>
      </c>
      <c r="J72" s="288">
        <v>0</v>
      </c>
      <c r="K72" s="289">
        <v>-100</v>
      </c>
      <c r="L72" s="106"/>
      <c r="O72" s="329"/>
      <c r="P72" s="324">
        <f aca="true" t="shared" si="4" ref="P72:P103">+F72-E72</f>
        <v>-112.9692</v>
      </c>
      <c r="Q72" s="324">
        <f aca="true" t="shared" si="5" ref="Q72:Q103">+J72-I72</f>
        <v>-724.35</v>
      </c>
      <c r="R72" s="325">
        <f aca="true" t="shared" si="6" ref="R72:R103">+IF(F72=0,0,J72/F72)</f>
        <v>0</v>
      </c>
    </row>
    <row r="73" spans="2:18" ht="12.75">
      <c r="B73" s="401"/>
      <c r="C73" s="296" t="s">
        <v>96</v>
      </c>
      <c r="D73" s="287">
        <v>725</v>
      </c>
      <c r="E73" s="288">
        <v>725</v>
      </c>
      <c r="F73" s="288">
        <v>833.5257</v>
      </c>
      <c r="G73" s="289">
        <v>14.96906206896551</v>
      </c>
      <c r="H73" s="288">
        <v>602.82</v>
      </c>
      <c r="I73" s="288">
        <v>602.82</v>
      </c>
      <c r="J73" s="288">
        <v>1303.65</v>
      </c>
      <c r="K73" s="289">
        <v>116.25858465213494</v>
      </c>
      <c r="L73" s="107"/>
      <c r="O73" s="329"/>
      <c r="P73" s="324">
        <f t="shared" si="4"/>
        <v>108.52570000000003</v>
      </c>
      <c r="Q73" s="324">
        <f t="shared" si="5"/>
        <v>700.83</v>
      </c>
      <c r="R73" s="325">
        <f t="shared" si="6"/>
        <v>1.5640189618628437</v>
      </c>
    </row>
    <row r="74" spans="2:18" ht="15">
      <c r="B74" s="401"/>
      <c r="C74" s="296" t="s">
        <v>78</v>
      </c>
      <c r="D74" s="287">
        <v>1125</v>
      </c>
      <c r="E74" s="288">
        <v>1125</v>
      </c>
      <c r="F74" s="288">
        <v>0</v>
      </c>
      <c r="G74" s="289">
        <v>-100</v>
      </c>
      <c r="H74" s="288">
        <v>161.86</v>
      </c>
      <c r="I74" s="288">
        <v>161.86</v>
      </c>
      <c r="J74" s="288">
        <v>0</v>
      </c>
      <c r="K74" s="289">
        <v>-100</v>
      </c>
      <c r="L74" s="106"/>
      <c r="O74" s="328"/>
      <c r="P74" s="324">
        <f t="shared" si="4"/>
        <v>-1125</v>
      </c>
      <c r="Q74" s="324">
        <f t="shared" si="5"/>
        <v>-161.86</v>
      </c>
      <c r="R74" s="325">
        <f t="shared" si="6"/>
        <v>0</v>
      </c>
    </row>
    <row r="75" spans="2:19" s="204" customFormat="1" ht="15">
      <c r="B75" s="401"/>
      <c r="C75" s="296" t="s">
        <v>190</v>
      </c>
      <c r="D75" s="287">
        <v>0</v>
      </c>
      <c r="E75" s="288">
        <v>0</v>
      </c>
      <c r="F75" s="288">
        <v>352.5</v>
      </c>
      <c r="G75" s="289" t="s">
        <v>143</v>
      </c>
      <c r="H75" s="288">
        <v>0</v>
      </c>
      <c r="I75" s="288">
        <v>0</v>
      </c>
      <c r="J75" s="288">
        <v>409.65</v>
      </c>
      <c r="K75" s="289" t="s">
        <v>143</v>
      </c>
      <c r="L75" s="212"/>
      <c r="N75" s="139"/>
      <c r="O75" s="328"/>
      <c r="P75" s="324">
        <f t="shared" si="4"/>
        <v>352.5</v>
      </c>
      <c r="Q75" s="324">
        <f t="shared" si="5"/>
        <v>409.65</v>
      </c>
      <c r="R75" s="325">
        <f t="shared" si="6"/>
        <v>1.162127659574468</v>
      </c>
      <c r="S75" s="139"/>
    </row>
    <row r="76" spans="2:19" s="204" customFormat="1" ht="15">
      <c r="B76" s="405"/>
      <c r="C76" s="296" t="s">
        <v>75</v>
      </c>
      <c r="D76" s="287">
        <v>0</v>
      </c>
      <c r="E76" s="288">
        <v>0</v>
      </c>
      <c r="F76" s="288">
        <v>2128</v>
      </c>
      <c r="G76" s="289" t="s">
        <v>143</v>
      </c>
      <c r="H76" s="288">
        <v>0</v>
      </c>
      <c r="I76" s="288">
        <v>0</v>
      </c>
      <c r="J76" s="288">
        <v>5393.3</v>
      </c>
      <c r="K76" s="289" t="s">
        <v>143</v>
      </c>
      <c r="L76" s="212"/>
      <c r="N76" s="139"/>
      <c r="O76" s="328"/>
      <c r="P76" s="324"/>
      <c r="Q76" s="324"/>
      <c r="R76" s="325"/>
      <c r="S76" s="139"/>
    </row>
    <row r="77" spans="2:18" ht="15">
      <c r="B77" s="331" t="s">
        <v>113</v>
      </c>
      <c r="C77" s="122"/>
      <c r="D77" s="58">
        <v>2076654.8941999997</v>
      </c>
      <c r="E77" s="59">
        <v>2076654.8941999997</v>
      </c>
      <c r="F77" s="59">
        <v>2125328.3863000004</v>
      </c>
      <c r="G77" s="60">
        <v>2.34384115704267</v>
      </c>
      <c r="H77" s="59">
        <v>1969126.2700000003</v>
      </c>
      <c r="I77" s="59">
        <v>1969126.2700000003</v>
      </c>
      <c r="J77" s="59">
        <v>1803223.55</v>
      </c>
      <c r="K77" s="60">
        <v>-8.425194591507845</v>
      </c>
      <c r="L77" s="106"/>
      <c r="O77" s="327">
        <f>+J77/$J$103</f>
        <v>0.01735782877901608</v>
      </c>
      <c r="P77" s="324">
        <f t="shared" si="4"/>
        <v>48673.492100000614</v>
      </c>
      <c r="Q77" s="324">
        <f t="shared" si="5"/>
        <v>-165902.7200000002</v>
      </c>
      <c r="R77" s="325">
        <f t="shared" si="6"/>
        <v>0.8484446740671662</v>
      </c>
    </row>
    <row r="78" spans="2:18" ht="12.75" customHeight="1">
      <c r="B78" s="408" t="s">
        <v>122</v>
      </c>
      <c r="C78" s="286" t="s">
        <v>94</v>
      </c>
      <c r="D78" s="287">
        <v>368031.75</v>
      </c>
      <c r="E78" s="288">
        <v>368031.75</v>
      </c>
      <c r="F78" s="288">
        <v>361834.5</v>
      </c>
      <c r="G78" s="289">
        <v>-1.683890044812708</v>
      </c>
      <c r="H78" s="288">
        <v>272389.16</v>
      </c>
      <c r="I78" s="288">
        <v>272389.16</v>
      </c>
      <c r="J78" s="288">
        <v>297461.53</v>
      </c>
      <c r="K78" s="289">
        <v>9.204613722513798</v>
      </c>
      <c r="L78" s="106"/>
      <c r="O78" s="329"/>
      <c r="P78" s="324">
        <f t="shared" si="4"/>
        <v>-6197.25</v>
      </c>
      <c r="Q78" s="324">
        <f t="shared" si="5"/>
        <v>25072.370000000054</v>
      </c>
      <c r="R78" s="325">
        <f t="shared" si="6"/>
        <v>0.8220927799864304</v>
      </c>
    </row>
    <row r="79" spans="2:18" ht="12.75">
      <c r="B79" s="413"/>
      <c r="C79" s="286" t="s">
        <v>75</v>
      </c>
      <c r="D79" s="287">
        <v>65672.6538</v>
      </c>
      <c r="E79" s="288">
        <v>65672.6538</v>
      </c>
      <c r="F79" s="288">
        <v>26727</v>
      </c>
      <c r="G79" s="289">
        <v>-59.302695332832734</v>
      </c>
      <c r="H79" s="288">
        <v>94172.32</v>
      </c>
      <c r="I79" s="288">
        <v>94172.32</v>
      </c>
      <c r="J79" s="288">
        <v>61040.09</v>
      </c>
      <c r="K79" s="289">
        <v>-35.18255682773878</v>
      </c>
      <c r="L79" s="106"/>
      <c r="O79" s="329"/>
      <c r="P79" s="324">
        <f t="shared" si="4"/>
        <v>-38945.6538</v>
      </c>
      <c r="Q79" s="324">
        <f t="shared" si="5"/>
        <v>-33132.23000000001</v>
      </c>
      <c r="R79" s="325">
        <f t="shared" si="6"/>
        <v>2.2838361956074382</v>
      </c>
    </row>
    <row r="80" spans="2:19" s="204" customFormat="1" ht="12.75">
      <c r="B80" s="413"/>
      <c r="C80" s="286" t="s">
        <v>124</v>
      </c>
      <c r="D80" s="287">
        <v>17178.597</v>
      </c>
      <c r="E80" s="288">
        <v>17178.597</v>
      </c>
      <c r="F80" s="288">
        <v>31422.5374</v>
      </c>
      <c r="G80" s="289">
        <v>82.91678534632368</v>
      </c>
      <c r="H80" s="288">
        <v>85743.33</v>
      </c>
      <c r="I80" s="288">
        <v>85743.33</v>
      </c>
      <c r="J80" s="288">
        <v>68433.07</v>
      </c>
      <c r="K80" s="289">
        <v>-20.18846247282441</v>
      </c>
      <c r="L80" s="212"/>
      <c r="N80" s="139"/>
      <c r="O80" s="329"/>
      <c r="P80" s="324">
        <f t="shared" si="4"/>
        <v>14243.9404</v>
      </c>
      <c r="Q80" s="324">
        <f t="shared" si="5"/>
        <v>-17310.259999999995</v>
      </c>
      <c r="R80" s="325">
        <f t="shared" si="6"/>
        <v>2.177833989943791</v>
      </c>
      <c r="S80" s="139"/>
    </row>
    <row r="81" spans="2:18" ht="12.75">
      <c r="B81" s="413"/>
      <c r="C81" s="286" t="s">
        <v>96</v>
      </c>
      <c r="D81" s="287">
        <v>0</v>
      </c>
      <c r="E81" s="288">
        <v>0</v>
      </c>
      <c r="F81" s="288">
        <v>10800</v>
      </c>
      <c r="G81" s="289" t="s">
        <v>143</v>
      </c>
      <c r="H81" s="288">
        <v>0</v>
      </c>
      <c r="I81" s="288">
        <v>0</v>
      </c>
      <c r="J81" s="288">
        <v>10260</v>
      </c>
      <c r="K81" s="289" t="s">
        <v>143</v>
      </c>
      <c r="L81" s="106"/>
      <c r="O81" s="329"/>
      <c r="P81" s="324">
        <f t="shared" si="4"/>
        <v>10800</v>
      </c>
      <c r="Q81" s="324">
        <f t="shared" si="5"/>
        <v>10260</v>
      </c>
      <c r="R81" s="325">
        <f t="shared" si="6"/>
        <v>0.95</v>
      </c>
    </row>
    <row r="82" spans="2:19" s="204" customFormat="1" ht="12.75">
      <c r="B82" s="409"/>
      <c r="C82" s="286" t="s">
        <v>76</v>
      </c>
      <c r="D82" s="287">
        <v>0</v>
      </c>
      <c r="E82" s="288">
        <v>0</v>
      </c>
      <c r="F82" s="288">
        <v>385</v>
      </c>
      <c r="G82" s="289" t="s">
        <v>143</v>
      </c>
      <c r="H82" s="288">
        <v>0</v>
      </c>
      <c r="I82" s="288">
        <v>0</v>
      </c>
      <c r="J82" s="288">
        <v>780.22</v>
      </c>
      <c r="K82" s="289" t="s">
        <v>143</v>
      </c>
      <c r="L82" s="212"/>
      <c r="N82" s="139"/>
      <c r="O82" s="329"/>
      <c r="P82" s="324"/>
      <c r="Q82" s="324"/>
      <c r="R82" s="325"/>
      <c r="S82" s="139"/>
    </row>
    <row r="83" spans="2:18" ht="15">
      <c r="B83" s="121" t="s">
        <v>123</v>
      </c>
      <c r="C83" s="122"/>
      <c r="D83" s="58">
        <v>450883.0008</v>
      </c>
      <c r="E83" s="59">
        <v>450883.0008</v>
      </c>
      <c r="F83" s="59">
        <v>431169.03740000003</v>
      </c>
      <c r="G83" s="60">
        <v>-4.372301320968308</v>
      </c>
      <c r="H83" s="59">
        <v>452304.81</v>
      </c>
      <c r="I83" s="59">
        <v>452304.81</v>
      </c>
      <c r="J83" s="59">
        <v>437974.91</v>
      </c>
      <c r="K83" s="60">
        <v>-3.1681953592313183</v>
      </c>
      <c r="L83" s="107"/>
      <c r="O83" s="327">
        <f>+J83/$J$103</f>
        <v>0.004215946213260678</v>
      </c>
      <c r="P83" s="324">
        <f t="shared" si="4"/>
        <v>-19713.96339999995</v>
      </c>
      <c r="Q83" s="324">
        <f t="shared" si="5"/>
        <v>-14329.900000000023</v>
      </c>
      <c r="R83" s="325">
        <f t="shared" si="6"/>
        <v>1.0157846969741615</v>
      </c>
    </row>
    <row r="84" spans="2:18" ht="12.75">
      <c r="B84" s="404" t="s">
        <v>84</v>
      </c>
      <c r="C84" s="286" t="s">
        <v>124</v>
      </c>
      <c r="D84" s="287">
        <v>738</v>
      </c>
      <c r="E84" s="288">
        <v>738</v>
      </c>
      <c r="F84" s="288">
        <v>0</v>
      </c>
      <c r="G84" s="289">
        <v>-100</v>
      </c>
      <c r="H84" s="288">
        <v>84943.33</v>
      </c>
      <c r="I84" s="288">
        <v>84943.33</v>
      </c>
      <c r="J84" s="288">
        <v>0</v>
      </c>
      <c r="K84" s="289">
        <v>-100</v>
      </c>
      <c r="L84" s="106"/>
      <c r="O84" s="329"/>
      <c r="P84" s="324">
        <f t="shared" si="4"/>
        <v>-738</v>
      </c>
      <c r="Q84" s="324">
        <f t="shared" si="5"/>
        <v>-84943.33</v>
      </c>
      <c r="R84" s="325">
        <f t="shared" si="6"/>
        <v>0</v>
      </c>
    </row>
    <row r="85" spans="2:18" ht="15">
      <c r="B85" s="401"/>
      <c r="C85" s="286" t="s">
        <v>94</v>
      </c>
      <c r="D85" s="287">
        <v>57323.0769</v>
      </c>
      <c r="E85" s="288">
        <v>57323.0769</v>
      </c>
      <c r="F85" s="288">
        <v>0</v>
      </c>
      <c r="G85" s="289">
        <v>-100</v>
      </c>
      <c r="H85" s="288">
        <v>58523.86</v>
      </c>
      <c r="I85" s="288">
        <v>58523.86</v>
      </c>
      <c r="J85" s="288">
        <v>0</v>
      </c>
      <c r="K85" s="289">
        <v>-100</v>
      </c>
      <c r="L85" s="107"/>
      <c r="O85" s="328"/>
      <c r="P85" s="324">
        <f t="shared" si="4"/>
        <v>-57323.0769</v>
      </c>
      <c r="Q85" s="324">
        <f t="shared" si="5"/>
        <v>-58523.86</v>
      </c>
      <c r="R85" s="325">
        <f t="shared" si="6"/>
        <v>0</v>
      </c>
    </row>
    <row r="86" spans="2:19" s="204" customFormat="1" ht="15">
      <c r="B86" s="401"/>
      <c r="C86" s="286" t="s">
        <v>75</v>
      </c>
      <c r="D86" s="287">
        <v>67205.69</v>
      </c>
      <c r="E86" s="288">
        <v>67205.69</v>
      </c>
      <c r="F86" s="288">
        <v>82475.88</v>
      </c>
      <c r="G86" s="289">
        <v>22.72157312870384</v>
      </c>
      <c r="H86" s="288">
        <v>7814.02</v>
      </c>
      <c r="I86" s="288">
        <v>7814.02</v>
      </c>
      <c r="J86" s="288">
        <v>9603.83</v>
      </c>
      <c r="K86" s="289">
        <v>22.90511158149069</v>
      </c>
      <c r="L86" s="107"/>
      <c r="N86" s="139"/>
      <c r="O86" s="328"/>
      <c r="P86" s="324">
        <f t="shared" si="4"/>
        <v>15270.190000000002</v>
      </c>
      <c r="Q86" s="324">
        <f t="shared" si="5"/>
        <v>1789.8099999999995</v>
      </c>
      <c r="R86" s="325">
        <f t="shared" si="6"/>
        <v>0.11644410462792272</v>
      </c>
      <c r="S86" s="139"/>
    </row>
    <row r="87" spans="2:18" ht="12.75">
      <c r="B87" s="401"/>
      <c r="C87" s="61" t="s">
        <v>96</v>
      </c>
      <c r="D87" s="41">
        <v>0</v>
      </c>
      <c r="E87" s="42">
        <v>0</v>
      </c>
      <c r="F87" s="42">
        <v>651.9531</v>
      </c>
      <c r="G87" s="43" t="s">
        <v>143</v>
      </c>
      <c r="H87" s="42">
        <v>0</v>
      </c>
      <c r="I87" s="42">
        <v>0</v>
      </c>
      <c r="J87" s="42">
        <v>840.1</v>
      </c>
      <c r="K87" s="43" t="s">
        <v>143</v>
      </c>
      <c r="L87" s="107"/>
      <c r="O87" s="329"/>
      <c r="P87" s="324">
        <f t="shared" si="4"/>
        <v>651.9531</v>
      </c>
      <c r="Q87" s="324">
        <f t="shared" si="5"/>
        <v>840.1</v>
      </c>
      <c r="R87" s="325">
        <f t="shared" si="6"/>
        <v>1.2885896240082302</v>
      </c>
    </row>
    <row r="88" spans="2:18" ht="15">
      <c r="B88" s="121" t="s">
        <v>115</v>
      </c>
      <c r="C88" s="122"/>
      <c r="D88" s="58">
        <v>125266.7669</v>
      </c>
      <c r="E88" s="59">
        <v>125266.7669</v>
      </c>
      <c r="F88" s="59">
        <v>83127.8331</v>
      </c>
      <c r="G88" s="60">
        <v>-33.639356106028785</v>
      </c>
      <c r="H88" s="59">
        <v>151281.21000000002</v>
      </c>
      <c r="I88" s="59">
        <v>151281.21000000002</v>
      </c>
      <c r="J88" s="59">
        <v>10443.93</v>
      </c>
      <c r="K88" s="60">
        <v>-93.09634686290518</v>
      </c>
      <c r="O88" s="327">
        <f>+J88/$J$103</f>
        <v>0.00010053326373206995</v>
      </c>
      <c r="P88" s="324">
        <f t="shared" si="4"/>
        <v>-42138.9338</v>
      </c>
      <c r="Q88" s="324">
        <f t="shared" si="5"/>
        <v>-140837.28000000003</v>
      </c>
      <c r="R88" s="325">
        <f t="shared" si="6"/>
        <v>0.12563698114729277</v>
      </c>
    </row>
    <row r="89" spans="2:18" ht="12.75">
      <c r="B89" s="404" t="s">
        <v>83</v>
      </c>
      <c r="C89" s="296" t="s">
        <v>124</v>
      </c>
      <c r="D89" s="287">
        <v>13608</v>
      </c>
      <c r="E89" s="288">
        <v>13608</v>
      </c>
      <c r="F89" s="288">
        <v>13688.3538</v>
      </c>
      <c r="G89" s="289">
        <v>0.590489417989426</v>
      </c>
      <c r="H89" s="288">
        <v>22676</v>
      </c>
      <c r="I89" s="288">
        <v>22676</v>
      </c>
      <c r="J89" s="288">
        <v>21851.92</v>
      </c>
      <c r="K89" s="289">
        <v>-3.6341506438525406</v>
      </c>
      <c r="O89" s="329"/>
      <c r="P89" s="324">
        <f t="shared" si="4"/>
        <v>80.35380000000077</v>
      </c>
      <c r="Q89" s="324">
        <f t="shared" si="5"/>
        <v>-824.0800000000017</v>
      </c>
      <c r="R89" s="325">
        <f t="shared" si="6"/>
        <v>1.5963877263312698</v>
      </c>
    </row>
    <row r="90" spans="2:18" ht="12.75">
      <c r="B90" s="401"/>
      <c r="C90" s="296" t="s">
        <v>126</v>
      </c>
      <c r="D90" s="287">
        <v>20000</v>
      </c>
      <c r="E90" s="288">
        <v>20000</v>
      </c>
      <c r="F90" s="288">
        <v>20000</v>
      </c>
      <c r="G90" s="289">
        <v>0</v>
      </c>
      <c r="H90" s="288">
        <v>16300</v>
      </c>
      <c r="I90" s="288">
        <v>16300</v>
      </c>
      <c r="J90" s="288">
        <v>15760</v>
      </c>
      <c r="K90" s="289">
        <v>-3.312883435582825</v>
      </c>
      <c r="O90" s="329"/>
      <c r="P90" s="324">
        <f t="shared" si="4"/>
        <v>0</v>
      </c>
      <c r="Q90" s="324">
        <f t="shared" si="5"/>
        <v>-540</v>
      </c>
      <c r="R90" s="325">
        <f t="shared" si="6"/>
        <v>0.788</v>
      </c>
    </row>
    <row r="91" spans="2:18" ht="12.75">
      <c r="B91" s="401"/>
      <c r="C91" s="296" t="s">
        <v>100</v>
      </c>
      <c r="D91" s="287">
        <v>5389.0772</v>
      </c>
      <c r="E91" s="288">
        <v>5389.0772</v>
      </c>
      <c r="F91" s="288">
        <v>0</v>
      </c>
      <c r="G91" s="289">
        <v>-100</v>
      </c>
      <c r="H91" s="288">
        <v>6599.38</v>
      </c>
      <c r="I91" s="288">
        <v>6599.38</v>
      </c>
      <c r="J91" s="288">
        <v>0</v>
      </c>
      <c r="K91" s="289">
        <v>-100</v>
      </c>
      <c r="O91" s="329"/>
      <c r="P91" s="324">
        <f t="shared" si="4"/>
        <v>-5389.0772</v>
      </c>
      <c r="Q91" s="324">
        <f t="shared" si="5"/>
        <v>-6599.38</v>
      </c>
      <c r="R91" s="325">
        <f t="shared" si="6"/>
        <v>0</v>
      </c>
    </row>
    <row r="92" spans="2:18" ht="12.75">
      <c r="B92" s="401"/>
      <c r="C92" s="296" t="s">
        <v>75</v>
      </c>
      <c r="D92" s="287">
        <v>964.6308</v>
      </c>
      <c r="E92" s="288">
        <v>964.6308</v>
      </c>
      <c r="F92" s="288">
        <v>500</v>
      </c>
      <c r="G92" s="289">
        <v>-48.16669755931492</v>
      </c>
      <c r="H92" s="288">
        <v>216.91</v>
      </c>
      <c r="I92" s="288">
        <v>216.91</v>
      </c>
      <c r="J92" s="288">
        <v>26.21</v>
      </c>
      <c r="K92" s="289">
        <v>-87.91664745747084</v>
      </c>
      <c r="O92" s="329"/>
      <c r="P92" s="324">
        <f t="shared" si="4"/>
        <v>-464.6308</v>
      </c>
      <c r="Q92" s="324">
        <f t="shared" si="5"/>
        <v>-190.7</v>
      </c>
      <c r="R92" s="325">
        <f t="shared" si="6"/>
        <v>0.05242</v>
      </c>
    </row>
    <row r="93" spans="2:18" ht="12.75">
      <c r="B93" s="401"/>
      <c r="C93" s="296" t="s">
        <v>93</v>
      </c>
      <c r="D93" s="287">
        <v>1.38</v>
      </c>
      <c r="E93" s="288">
        <v>1.38</v>
      </c>
      <c r="F93" s="288">
        <v>0</v>
      </c>
      <c r="G93" s="289">
        <v>-100</v>
      </c>
      <c r="H93" s="288">
        <v>167.27</v>
      </c>
      <c r="I93" s="288">
        <v>167.27</v>
      </c>
      <c r="J93" s="288">
        <v>0</v>
      </c>
      <c r="K93" s="289">
        <v>-100</v>
      </c>
      <c r="O93" s="329"/>
      <c r="P93" s="324">
        <f t="shared" si="4"/>
        <v>-1.38</v>
      </c>
      <c r="Q93" s="324">
        <f t="shared" si="5"/>
        <v>-167.27</v>
      </c>
      <c r="R93" s="325">
        <f t="shared" si="6"/>
        <v>0</v>
      </c>
    </row>
    <row r="94" spans="2:19" s="204" customFormat="1" ht="12.75">
      <c r="B94" s="401"/>
      <c r="C94" s="286" t="s">
        <v>96</v>
      </c>
      <c r="D94" s="287">
        <v>21</v>
      </c>
      <c r="E94" s="288">
        <v>21</v>
      </c>
      <c r="F94" s="288">
        <v>1309.2565</v>
      </c>
      <c r="G94" s="289">
        <v>6134.554761904761</v>
      </c>
      <c r="H94" s="288">
        <v>34.5</v>
      </c>
      <c r="I94" s="288">
        <v>34.5</v>
      </c>
      <c r="J94" s="288">
        <v>2160.5</v>
      </c>
      <c r="K94" s="289">
        <v>6162.31884057971</v>
      </c>
      <c r="N94" s="139"/>
      <c r="O94" s="329"/>
      <c r="P94" s="324">
        <f t="shared" si="4"/>
        <v>1288.2565</v>
      </c>
      <c r="Q94" s="324">
        <f t="shared" si="5"/>
        <v>2126</v>
      </c>
      <c r="R94" s="325">
        <f t="shared" si="6"/>
        <v>1.650173208993043</v>
      </c>
      <c r="S94" s="139"/>
    </row>
    <row r="95" spans="2:19" s="204" customFormat="1" ht="12.75">
      <c r="B95" s="401"/>
      <c r="C95" s="286" t="s">
        <v>172</v>
      </c>
      <c r="D95" s="287">
        <v>0</v>
      </c>
      <c r="E95" s="288">
        <v>0</v>
      </c>
      <c r="F95" s="288">
        <v>4.2</v>
      </c>
      <c r="G95" s="289" t="s">
        <v>143</v>
      </c>
      <c r="H95" s="288">
        <v>0</v>
      </c>
      <c r="I95" s="288">
        <v>0</v>
      </c>
      <c r="J95" s="288">
        <v>780</v>
      </c>
      <c r="K95" s="289" t="s">
        <v>143</v>
      </c>
      <c r="N95" s="139"/>
      <c r="O95" s="329"/>
      <c r="P95" s="324">
        <f t="shared" si="4"/>
        <v>4.2</v>
      </c>
      <c r="Q95" s="324">
        <f t="shared" si="5"/>
        <v>780</v>
      </c>
      <c r="R95" s="325">
        <f t="shared" si="6"/>
        <v>185.7142857142857</v>
      </c>
      <c r="S95" s="139"/>
    </row>
    <row r="96" spans="2:19" s="204" customFormat="1" ht="12.75">
      <c r="B96" s="405"/>
      <c r="C96" s="211" t="s">
        <v>98</v>
      </c>
      <c r="D96" s="206">
        <v>0</v>
      </c>
      <c r="E96" s="207">
        <v>0</v>
      </c>
      <c r="F96" s="207">
        <v>96</v>
      </c>
      <c r="G96" s="208" t="s">
        <v>143</v>
      </c>
      <c r="H96" s="207">
        <v>0</v>
      </c>
      <c r="I96" s="207">
        <v>0</v>
      </c>
      <c r="J96" s="207">
        <v>375.23</v>
      </c>
      <c r="K96" s="208" t="s">
        <v>143</v>
      </c>
      <c r="N96" s="139"/>
      <c r="O96" s="329"/>
      <c r="P96" s="324">
        <f t="shared" si="4"/>
        <v>96</v>
      </c>
      <c r="Q96" s="324">
        <f t="shared" si="5"/>
        <v>375.23</v>
      </c>
      <c r="R96" s="325">
        <f t="shared" si="6"/>
        <v>3.9086458333333334</v>
      </c>
      <c r="S96" s="139"/>
    </row>
    <row r="97" spans="2:18" ht="15">
      <c r="B97" s="121" t="s">
        <v>114</v>
      </c>
      <c r="C97" s="122"/>
      <c r="D97" s="58">
        <v>39984.088</v>
      </c>
      <c r="E97" s="59">
        <v>39984.088</v>
      </c>
      <c r="F97" s="59">
        <v>35597.8103</v>
      </c>
      <c r="G97" s="60">
        <v>-10.970058139127758</v>
      </c>
      <c r="H97" s="59">
        <v>45994.06</v>
      </c>
      <c r="I97" s="59">
        <v>45994.06</v>
      </c>
      <c r="J97" s="59">
        <v>40953.86</v>
      </c>
      <c r="K97" s="60">
        <v>-10.958371581025894</v>
      </c>
      <c r="O97" s="327">
        <f>+J97/$J$103</f>
        <v>0.0003942218310756842</v>
      </c>
      <c r="P97" s="324">
        <f t="shared" si="4"/>
        <v>-4386.277700000006</v>
      </c>
      <c r="Q97" s="324">
        <f t="shared" si="5"/>
        <v>-5040.199999999997</v>
      </c>
      <c r="R97" s="325">
        <f t="shared" si="6"/>
        <v>1.1504600888330483</v>
      </c>
    </row>
    <row r="98" spans="2:19" s="204" customFormat="1" ht="28.5" customHeight="1">
      <c r="B98" s="220" t="s">
        <v>235</v>
      </c>
      <c r="C98" s="150" t="s">
        <v>75</v>
      </c>
      <c r="D98" s="151">
        <v>4375</v>
      </c>
      <c r="E98" s="151">
        <v>4375</v>
      </c>
      <c r="F98" s="151">
        <v>64472</v>
      </c>
      <c r="G98" s="152">
        <v>1373.6457142857143</v>
      </c>
      <c r="H98" s="151">
        <v>469.7</v>
      </c>
      <c r="I98" s="151">
        <v>469.7</v>
      </c>
      <c r="J98" s="151">
        <v>7543.65</v>
      </c>
      <c r="K98" s="152">
        <v>1506.057057696402</v>
      </c>
      <c r="N98" s="139"/>
      <c r="O98" s="327"/>
      <c r="P98" s="324">
        <f t="shared" si="4"/>
        <v>60097</v>
      </c>
      <c r="Q98" s="324">
        <f t="shared" si="5"/>
        <v>7073.95</v>
      </c>
      <c r="R98" s="325">
        <f t="shared" si="6"/>
        <v>0.11700660751954337</v>
      </c>
      <c r="S98" s="139"/>
    </row>
    <row r="99" spans="2:19" s="204" customFormat="1" ht="15">
      <c r="B99" s="121" t="s">
        <v>236</v>
      </c>
      <c r="C99" s="122"/>
      <c r="D99" s="58">
        <v>4375</v>
      </c>
      <c r="E99" s="59">
        <v>4375</v>
      </c>
      <c r="F99" s="59">
        <v>64472</v>
      </c>
      <c r="G99" s="60">
        <v>1373.6457142857143</v>
      </c>
      <c r="H99" s="59">
        <v>469.7</v>
      </c>
      <c r="I99" s="59">
        <v>469.7</v>
      </c>
      <c r="J99" s="59">
        <v>7543.65</v>
      </c>
      <c r="K99" s="60">
        <v>1506.057057696402</v>
      </c>
      <c r="N99" s="139"/>
      <c r="O99" s="327">
        <f>+J99/$J$103</f>
        <v>7.261517024266051E-05</v>
      </c>
      <c r="P99" s="324">
        <f t="shared" si="4"/>
        <v>60097</v>
      </c>
      <c r="Q99" s="324">
        <f t="shared" si="5"/>
        <v>7073.95</v>
      </c>
      <c r="R99" s="325">
        <f t="shared" si="6"/>
        <v>0.11700660751954337</v>
      </c>
      <c r="S99" s="139"/>
    </row>
    <row r="100" spans="2:18" ht="12.75">
      <c r="B100" s="408" t="s">
        <v>181</v>
      </c>
      <c r="C100" s="296" t="s">
        <v>93</v>
      </c>
      <c r="D100" s="287">
        <v>1.339</v>
      </c>
      <c r="E100" s="288">
        <v>1.339</v>
      </c>
      <c r="F100" s="288">
        <v>0</v>
      </c>
      <c r="G100" s="289">
        <v>-100</v>
      </c>
      <c r="H100" s="288">
        <v>203.57</v>
      </c>
      <c r="I100" s="288">
        <v>203.57</v>
      </c>
      <c r="J100" s="288">
        <v>0</v>
      </c>
      <c r="K100" s="289">
        <v>-100</v>
      </c>
      <c r="O100" s="329"/>
      <c r="P100" s="324">
        <f t="shared" si="4"/>
        <v>-1.339</v>
      </c>
      <c r="Q100" s="324">
        <f t="shared" si="5"/>
        <v>-203.57</v>
      </c>
      <c r="R100" s="325">
        <f t="shared" si="6"/>
        <v>0</v>
      </c>
    </row>
    <row r="101" spans="2:19" s="204" customFormat="1" ht="12.75">
      <c r="B101" s="409"/>
      <c r="C101" s="296" t="s">
        <v>124</v>
      </c>
      <c r="D101" s="287">
        <v>0</v>
      </c>
      <c r="E101" s="288">
        <v>0</v>
      </c>
      <c r="F101" s="288">
        <v>1850</v>
      </c>
      <c r="G101" s="289" t="s">
        <v>143</v>
      </c>
      <c r="H101" s="288">
        <v>0</v>
      </c>
      <c r="I101" s="288">
        <v>0</v>
      </c>
      <c r="J101" s="288">
        <v>167484.03</v>
      </c>
      <c r="K101" s="289" t="s">
        <v>143</v>
      </c>
      <c r="N101" s="139"/>
      <c r="O101" s="329"/>
      <c r="P101" s="324">
        <f t="shared" si="4"/>
        <v>1850</v>
      </c>
      <c r="Q101" s="324">
        <f t="shared" si="5"/>
        <v>167484.03</v>
      </c>
      <c r="R101" s="325">
        <f t="shared" si="6"/>
        <v>90.53190810810811</v>
      </c>
      <c r="S101" s="139"/>
    </row>
    <row r="102" spans="2:18" ht="15">
      <c r="B102" s="121" t="s">
        <v>182</v>
      </c>
      <c r="C102" s="122"/>
      <c r="D102" s="58">
        <v>1.339</v>
      </c>
      <c r="E102" s="59">
        <v>1.339</v>
      </c>
      <c r="F102" s="59">
        <v>1850</v>
      </c>
      <c r="G102" s="60">
        <v>138062.8080657207</v>
      </c>
      <c r="H102" s="59">
        <v>203.57</v>
      </c>
      <c r="I102" s="59">
        <v>203.57</v>
      </c>
      <c r="J102" s="59">
        <v>167484.03</v>
      </c>
      <c r="K102" s="60">
        <v>82173.43419953824</v>
      </c>
      <c r="O102" s="327">
        <f>+J102/$J$103</f>
        <v>0.0016122011693778025</v>
      </c>
      <c r="P102" s="324">
        <f t="shared" si="4"/>
        <v>1848.661</v>
      </c>
      <c r="Q102" s="324">
        <f t="shared" si="5"/>
        <v>167280.46</v>
      </c>
      <c r="R102" s="325">
        <f t="shared" si="6"/>
        <v>90.53190810810811</v>
      </c>
    </row>
    <row r="103" spans="2:18" ht="12.75">
      <c r="B103" s="121" t="s">
        <v>91</v>
      </c>
      <c r="C103" s="122"/>
      <c r="D103" s="58">
        <v>107350683.4938</v>
      </c>
      <c r="E103" s="59">
        <v>107350683.4938</v>
      </c>
      <c r="F103" s="59">
        <v>109499612.06479998</v>
      </c>
      <c r="G103" s="60">
        <v>2.0017837810264894</v>
      </c>
      <c r="H103" s="59">
        <v>98534478.25999993</v>
      </c>
      <c r="I103" s="59">
        <v>98534478.25999993</v>
      </c>
      <c r="J103" s="59">
        <v>103885317.27999997</v>
      </c>
      <c r="K103" s="60">
        <v>5.430423050377287</v>
      </c>
      <c r="O103" s="329"/>
      <c r="P103" s="324">
        <f t="shared" si="4"/>
        <v>2148928.57099998</v>
      </c>
      <c r="Q103" s="324">
        <f t="shared" si="5"/>
        <v>5350839.0200000405</v>
      </c>
      <c r="R103" s="325">
        <f t="shared" si="6"/>
        <v>0.9487277198618972</v>
      </c>
    </row>
    <row r="104" spans="2:16" ht="12.75">
      <c r="B104" s="292" t="s">
        <v>258</v>
      </c>
      <c r="C104" s="108"/>
      <c r="D104" s="108"/>
      <c r="E104" s="108"/>
      <c r="F104" s="108"/>
      <c r="G104" s="108"/>
      <c r="H104" s="108"/>
      <c r="I104" s="108"/>
      <c r="J104" s="108"/>
      <c r="K104" s="108"/>
      <c r="O104" s="308"/>
      <c r="P104" s="308"/>
    </row>
    <row r="105" spans="15:16" ht="12.75">
      <c r="O105" s="308"/>
      <c r="P105" s="308"/>
    </row>
  </sheetData>
  <sheetProtection/>
  <mergeCells count="13">
    <mergeCell ref="B100:B101"/>
    <mergeCell ref="B6:B23"/>
    <mergeCell ref="B89:B96"/>
    <mergeCell ref="B84:B87"/>
    <mergeCell ref="B25:B47"/>
    <mergeCell ref="B49:B59"/>
    <mergeCell ref="B78:B82"/>
    <mergeCell ref="B61:B76"/>
    <mergeCell ref="B2:K2"/>
    <mergeCell ref="D4:G4"/>
    <mergeCell ref="H4:K4"/>
    <mergeCell ref="B4:B5"/>
    <mergeCell ref="C4:C5"/>
  </mergeCells>
  <conditionalFormatting sqref="P6:P102">
    <cfRule type="top10" priority="4" dxfId="42" rank="2"/>
    <cfRule type="top10" priority="5" dxfId="43" rank="2" bottom="1"/>
  </conditionalFormatting>
  <conditionalFormatting sqref="Q6:Q102">
    <cfRule type="top10" priority="2" dxfId="42" rank="2"/>
    <cfRule type="top10" priority="3" dxfId="43" rank="2" bottom="1"/>
  </conditionalFormatting>
  <conditionalFormatting sqref="R6:R102">
    <cfRule type="top10" priority="1" dxfId="44" rank="6"/>
  </conditionalFormatting>
  <hyperlinks>
    <hyperlink ref="M2" location="Índice!A1" display="Volver al índice"/>
  </hyperlinks>
  <printOptions horizontalCentered="1"/>
  <pageMargins left="0.11811023622047245" right="0.11811023622047245" top="0.31496062992125984" bottom="0.35433070866141736" header="0.31496062992125984" footer="0.31496062992125984"/>
  <pageSetup fitToHeight="1" fitToWidth="1" horizontalDpi="600" verticalDpi="600" orientation="portrait" paperSize="122" scale="5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H26"/>
  <sheetViews>
    <sheetView zoomScale="80" zoomScaleNormal="80" zoomScalePageLayoutView="80" workbookViewId="0" topLeftCell="A1">
      <selection activeCell="A1" sqref="A1"/>
    </sheetView>
  </sheetViews>
  <sheetFormatPr defaultColWidth="10.8515625" defaultRowHeight="15"/>
  <cols>
    <col min="1" max="9" width="10.421875" style="96" customWidth="1"/>
    <col min="10" max="23" width="10.8515625" style="96" customWidth="1"/>
    <col min="24" max="16384" width="10.8515625" style="96" customWidth="1"/>
  </cols>
  <sheetData>
    <row r="2" spans="2:8" ht="15.75">
      <c r="B2" s="67"/>
      <c r="C2" s="67"/>
      <c r="D2" s="68"/>
      <c r="E2" s="188" t="s">
        <v>108</v>
      </c>
      <c r="F2" s="68"/>
      <c r="G2" s="67"/>
      <c r="H2" s="67"/>
    </row>
    <row r="3" spans="2:8" ht="15" customHeight="1">
      <c r="B3" s="67"/>
      <c r="C3" s="67"/>
      <c r="E3" s="127" t="str">
        <f>+Portada!E49</f>
        <v>Enero 2018</v>
      </c>
      <c r="F3" s="126"/>
      <c r="G3" s="67"/>
      <c r="H3" s="67"/>
    </row>
    <row r="4" spans="2:8" ht="15">
      <c r="B4" s="67"/>
      <c r="C4" s="67"/>
      <c r="D4" s="68"/>
      <c r="E4" s="98" t="s">
        <v>276</v>
      </c>
      <c r="F4" s="68"/>
      <c r="G4" s="67"/>
      <c r="H4" s="67"/>
    </row>
    <row r="5" spans="2:8" ht="15">
      <c r="B5" s="67"/>
      <c r="D5" s="99"/>
      <c r="F5" s="99"/>
      <c r="G5" s="99"/>
      <c r="H5" s="67"/>
    </row>
    <row r="6" spans="2:8" ht="15">
      <c r="B6" s="67"/>
      <c r="C6" s="67"/>
      <c r="D6" s="67"/>
      <c r="E6" s="67"/>
      <c r="F6" s="67"/>
      <c r="G6" s="67"/>
      <c r="H6" s="67"/>
    </row>
    <row r="7" spans="2:8" ht="15">
      <c r="B7" s="67"/>
      <c r="C7" s="67"/>
      <c r="D7" s="68"/>
      <c r="E7" s="93" t="s">
        <v>141</v>
      </c>
      <c r="F7" s="68"/>
      <c r="G7" s="67"/>
      <c r="H7" s="67"/>
    </row>
    <row r="8" spans="2:8" ht="15">
      <c r="B8" s="67"/>
      <c r="C8" s="67"/>
      <c r="D8" s="67"/>
      <c r="E8" s="67"/>
      <c r="F8" s="67"/>
      <c r="G8" s="67"/>
      <c r="H8" s="67"/>
    </row>
    <row r="9" spans="2:8" ht="15">
      <c r="B9" s="67"/>
      <c r="C9" s="67"/>
      <c r="D9" s="67"/>
      <c r="E9" s="67"/>
      <c r="F9" s="67"/>
      <c r="G9" s="67"/>
      <c r="H9" s="67"/>
    </row>
    <row r="10" spans="2:8" ht="15">
      <c r="B10" s="67"/>
      <c r="C10" s="67"/>
      <c r="D10" s="67"/>
      <c r="E10" s="67"/>
      <c r="F10" s="67"/>
      <c r="G10" s="67"/>
      <c r="H10" s="67"/>
    </row>
    <row r="11" spans="2:8" ht="15">
      <c r="B11" s="67"/>
      <c r="C11" s="67"/>
      <c r="D11" s="67"/>
      <c r="E11" s="67"/>
      <c r="F11" s="67"/>
      <c r="G11" s="67"/>
      <c r="H11" s="67"/>
    </row>
    <row r="12" spans="2:8" ht="15">
      <c r="B12" s="67"/>
      <c r="C12" s="67"/>
      <c r="D12" s="67"/>
      <c r="E12" s="67"/>
      <c r="F12" s="67"/>
      <c r="G12" s="67"/>
      <c r="H12" s="67"/>
    </row>
    <row r="13" spans="2:8" ht="15">
      <c r="B13" s="68"/>
      <c r="D13" s="100"/>
      <c r="E13" s="98" t="s">
        <v>117</v>
      </c>
      <c r="F13" s="100"/>
      <c r="G13" s="100"/>
      <c r="H13" s="68"/>
    </row>
    <row r="14" spans="2:8" ht="15">
      <c r="B14" s="67"/>
      <c r="D14" s="100"/>
      <c r="E14" s="98" t="s">
        <v>0</v>
      </c>
      <c r="F14" s="100"/>
      <c r="G14" s="100"/>
      <c r="H14" s="67"/>
    </row>
    <row r="15" spans="2:8" ht="15">
      <c r="B15" s="68"/>
      <c r="D15" s="101"/>
      <c r="E15" s="102" t="s">
        <v>1</v>
      </c>
      <c r="F15" s="101"/>
      <c r="G15" s="101"/>
      <c r="H15" s="68"/>
    </row>
    <row r="16" spans="2:8" ht="15">
      <c r="B16" s="68"/>
      <c r="C16" s="68"/>
      <c r="D16" s="68"/>
      <c r="E16" s="68"/>
      <c r="F16" s="68"/>
      <c r="G16" s="68"/>
      <c r="H16" s="68"/>
    </row>
    <row r="17" spans="2:8" ht="15">
      <c r="B17" s="68"/>
      <c r="E17" s="118" t="s">
        <v>154</v>
      </c>
      <c r="F17" s="118"/>
      <c r="G17" s="118"/>
      <c r="H17" s="97"/>
    </row>
    <row r="18" spans="2:8" ht="15">
      <c r="B18" s="68"/>
      <c r="E18" s="118" t="s">
        <v>140</v>
      </c>
      <c r="F18" s="118"/>
      <c r="G18" s="118"/>
      <c r="H18" s="97"/>
    </row>
    <row r="19" spans="2:8" ht="15">
      <c r="B19" s="68"/>
      <c r="C19" s="68"/>
      <c r="D19" s="68"/>
      <c r="E19" s="68"/>
      <c r="F19" s="68"/>
      <c r="G19" s="68"/>
      <c r="H19" s="68"/>
    </row>
    <row r="20" spans="2:8" ht="15">
      <c r="B20" s="68"/>
      <c r="C20" s="68"/>
      <c r="D20" s="67"/>
      <c r="E20" s="67"/>
      <c r="F20" s="67"/>
      <c r="G20" s="68"/>
      <c r="H20" s="68"/>
    </row>
    <row r="21" spans="2:8" ht="15">
      <c r="B21" s="68"/>
      <c r="C21" s="68"/>
      <c r="D21" s="67"/>
      <c r="E21" s="67"/>
      <c r="F21" s="67"/>
      <c r="G21" s="68"/>
      <c r="H21" s="68"/>
    </row>
    <row r="22" spans="2:8" ht="15">
      <c r="B22" s="68"/>
      <c r="C22" s="68"/>
      <c r="D22" s="68"/>
      <c r="E22" s="68"/>
      <c r="F22" s="68"/>
      <c r="G22" s="68"/>
      <c r="H22" s="68"/>
    </row>
    <row r="23" spans="2:8" ht="15">
      <c r="B23" s="67"/>
      <c r="C23" s="67"/>
      <c r="D23" s="67"/>
      <c r="E23" s="67"/>
      <c r="F23" s="67"/>
      <c r="G23" s="67"/>
      <c r="H23" s="67"/>
    </row>
    <row r="24" spans="2:8" ht="15">
      <c r="B24" s="67"/>
      <c r="C24" s="67"/>
      <c r="D24" s="67"/>
      <c r="E24" s="67"/>
      <c r="F24" s="67"/>
      <c r="G24" s="67"/>
      <c r="H24" s="67"/>
    </row>
    <row r="25" spans="4:8" ht="15">
      <c r="D25" s="103"/>
      <c r="E25" s="189" t="s">
        <v>106</v>
      </c>
      <c r="F25" s="103"/>
      <c r="G25" s="103"/>
      <c r="H25" s="97"/>
    </row>
    <row r="26" spans="2:8" ht="15">
      <c r="B26" s="67"/>
      <c r="C26" s="67"/>
      <c r="D26" s="67"/>
      <c r="E26" s="67"/>
      <c r="F26" s="67"/>
      <c r="G26" s="67"/>
      <c r="H26" s="67"/>
    </row>
  </sheetData>
  <sheetProtection/>
  <hyperlinks>
    <hyperlink ref="E15" r:id="rId1" display="www.odepa.gob.cl"/>
  </hyperlinks>
  <printOptions horizontalCentered="1" verticalCentered="1"/>
  <pageMargins left="0.7086614173228347" right="0.7086614173228347" top="1.299212598425197" bottom="0.7480314960629921" header="0.31496062992125984" footer="0.31496062992125984"/>
  <pageSetup fitToHeight="1" fitToWidth="1" horizontalDpi="600" verticalDpi="600" orientation="portrait" paperSize="122" scale="96"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B2:K9"/>
  <sheetViews>
    <sheetView zoomScale="80" zoomScaleNormal="80" zoomScalePageLayoutView="80" workbookViewId="0" topLeftCell="A1">
      <selection activeCell="A1" sqref="A1"/>
    </sheetView>
  </sheetViews>
  <sheetFormatPr defaultColWidth="10.8515625" defaultRowHeight="15"/>
  <cols>
    <col min="1" max="1" width="1.28515625" style="191" customWidth="1"/>
    <col min="2" max="9" width="11.00390625" style="191" customWidth="1"/>
    <col min="10" max="10" width="2.00390625" style="191" customWidth="1"/>
    <col min="11" max="26" width="10.8515625" style="191" customWidth="1"/>
    <col min="27" max="16384" width="10.8515625" style="191" customWidth="1"/>
  </cols>
  <sheetData>
    <row r="2" spans="2:11" ht="15">
      <c r="B2" s="344" t="s">
        <v>158</v>
      </c>
      <c r="C2" s="344"/>
      <c r="D2" s="344"/>
      <c r="E2" s="344"/>
      <c r="F2" s="344"/>
      <c r="G2" s="344"/>
      <c r="H2" s="344"/>
      <c r="I2" s="344"/>
      <c r="J2" s="190"/>
      <c r="K2" s="62" t="s">
        <v>147</v>
      </c>
    </row>
    <row r="3" spans="2:10" ht="14.25">
      <c r="B3" s="192"/>
      <c r="C3" s="192"/>
      <c r="D3" s="192"/>
      <c r="E3" s="192"/>
      <c r="F3" s="192"/>
      <c r="G3" s="192"/>
      <c r="H3" s="192"/>
      <c r="I3" s="192"/>
      <c r="J3" s="192"/>
    </row>
    <row r="4" spans="2:10" ht="34.5" customHeight="1">
      <c r="B4" s="345" t="s">
        <v>183</v>
      </c>
      <c r="C4" s="345"/>
      <c r="D4" s="345"/>
      <c r="E4" s="345"/>
      <c r="F4" s="345"/>
      <c r="G4" s="345"/>
      <c r="H4" s="345"/>
      <c r="I4" s="345"/>
      <c r="J4" s="193"/>
    </row>
    <row r="5" spans="2:10" ht="29.25" customHeight="1">
      <c r="B5" s="345" t="s">
        <v>160</v>
      </c>
      <c r="C5" s="345"/>
      <c r="D5" s="345"/>
      <c r="E5" s="345"/>
      <c r="F5" s="345"/>
      <c r="G5" s="345"/>
      <c r="H5" s="345"/>
      <c r="I5" s="345"/>
      <c r="J5" s="193"/>
    </row>
    <row r="6" spans="2:10" ht="18" customHeight="1">
      <c r="B6" s="343" t="s">
        <v>159</v>
      </c>
      <c r="C6" s="343"/>
      <c r="D6" s="343"/>
      <c r="E6" s="343"/>
      <c r="F6" s="343"/>
      <c r="G6" s="343"/>
      <c r="H6" s="343"/>
      <c r="I6" s="343"/>
      <c r="J6" s="193"/>
    </row>
    <row r="7" spans="2:10" ht="34.5" customHeight="1">
      <c r="B7" s="343" t="s">
        <v>161</v>
      </c>
      <c r="C7" s="343"/>
      <c r="D7" s="343"/>
      <c r="E7" s="343"/>
      <c r="F7" s="343"/>
      <c r="G7" s="343"/>
      <c r="H7" s="343"/>
      <c r="I7" s="343"/>
      <c r="J7" s="193"/>
    </row>
    <row r="8" spans="2:10" ht="34.5" customHeight="1">
      <c r="B8" s="343" t="s">
        <v>163</v>
      </c>
      <c r="C8" s="343"/>
      <c r="D8" s="343"/>
      <c r="E8" s="343"/>
      <c r="F8" s="343"/>
      <c r="G8" s="343"/>
      <c r="H8" s="343"/>
      <c r="I8" s="343"/>
      <c r="J8" s="193"/>
    </row>
    <row r="9" spans="2:9" ht="14.25">
      <c r="B9" s="343" t="s">
        <v>175</v>
      </c>
      <c r="C9" s="343"/>
      <c r="D9" s="343"/>
      <c r="E9" s="343"/>
      <c r="F9" s="343"/>
      <c r="G9" s="343"/>
      <c r="H9" s="343"/>
      <c r="I9" s="343"/>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horizontalCentered="1"/>
  <pageMargins left="0.7086614173228347" right="0.7086614173228347" top="1.299212598425197" bottom="0.7480314960629921" header="0.31496062992125984" footer="0.31496062992125984"/>
  <pageSetup fitToHeight="0" fitToWidth="1" horizontalDpi="600" verticalDpi="600" orientation="portrait" paperSize="122" scale="99" r:id="rId2"/>
  <headerFooter differentFirst="1">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D38"/>
  <sheetViews>
    <sheetView zoomScale="80" zoomScaleNormal="80" zoomScalePageLayoutView="80" workbookViewId="0" topLeftCell="A1">
      <selection activeCell="A1" sqref="A1"/>
    </sheetView>
  </sheetViews>
  <sheetFormatPr defaultColWidth="10.8515625" defaultRowHeight="15"/>
  <cols>
    <col min="1" max="1" width="1.421875" style="5" customWidth="1"/>
    <col min="2" max="2" width="14.421875" style="7" customWidth="1"/>
    <col min="3" max="3" width="84.140625" style="6" customWidth="1"/>
    <col min="4" max="4" width="7.421875" style="6" customWidth="1"/>
    <col min="5" max="5" width="1.8515625" style="5" customWidth="1"/>
    <col min="6" max="7" width="9.421875" style="5" customWidth="1"/>
    <col min="8" max="14" width="10.8515625" style="5" customWidth="1"/>
    <col min="15" max="16384" width="10.8515625" style="5" customWidth="1"/>
  </cols>
  <sheetData>
    <row r="1" ht="4.5" customHeight="1"/>
    <row r="2" spans="2:4" ht="12.75">
      <c r="B2" s="346" t="s">
        <v>56</v>
      </c>
      <c r="C2" s="346"/>
      <c r="D2" s="346"/>
    </row>
    <row r="3" spans="2:3" ht="12.75">
      <c r="B3" s="6"/>
      <c r="C3" s="57"/>
    </row>
    <row r="4" spans="2:4" ht="12.75">
      <c r="B4" s="22" t="s">
        <v>55</v>
      </c>
      <c r="C4" s="22" t="s">
        <v>52</v>
      </c>
      <c r="D4" s="21" t="s">
        <v>51</v>
      </c>
    </row>
    <row r="5" spans="2:4" ht="8.25" customHeight="1">
      <c r="B5" s="33"/>
      <c r="C5" s="19"/>
      <c r="D5" s="18"/>
    </row>
    <row r="6" spans="2:4" ht="12.75">
      <c r="B6" s="9">
        <v>1</v>
      </c>
      <c r="C6" s="61" t="s">
        <v>102</v>
      </c>
      <c r="D6" s="27">
        <v>5</v>
      </c>
    </row>
    <row r="7" spans="2:4" ht="12.75">
      <c r="B7" s="9">
        <v>2</v>
      </c>
      <c r="C7" s="61" t="s">
        <v>103</v>
      </c>
      <c r="D7" s="27">
        <v>5</v>
      </c>
    </row>
    <row r="8" spans="2:4" ht="12.75">
      <c r="B8" s="9">
        <v>3</v>
      </c>
      <c r="C8" s="61" t="s">
        <v>125</v>
      </c>
      <c r="D8" s="27">
        <v>5</v>
      </c>
    </row>
    <row r="9" spans="2:4" ht="12.75">
      <c r="B9" s="9">
        <v>4</v>
      </c>
      <c r="C9" s="61" t="s">
        <v>221</v>
      </c>
      <c r="D9" s="27">
        <v>5</v>
      </c>
    </row>
    <row r="10" spans="2:4" ht="12.75">
      <c r="B10" s="9">
        <v>5</v>
      </c>
      <c r="C10" s="80" t="s">
        <v>186</v>
      </c>
      <c r="D10" s="27">
        <v>5</v>
      </c>
    </row>
    <row r="11" spans="2:4" ht="7.5" customHeight="1">
      <c r="B11" s="17"/>
      <c r="C11" s="16"/>
      <c r="D11" s="15"/>
    </row>
    <row r="12" spans="2:4" ht="12.75">
      <c r="B12" s="22" t="s">
        <v>54</v>
      </c>
      <c r="C12" s="22" t="s">
        <v>52</v>
      </c>
      <c r="D12" s="21" t="s">
        <v>51</v>
      </c>
    </row>
    <row r="13" spans="2:4" ht="8.25" customHeight="1">
      <c r="B13" s="10"/>
      <c r="C13" s="12"/>
      <c r="D13" s="14"/>
    </row>
    <row r="14" spans="2:4" ht="12.75">
      <c r="B14" s="10">
        <v>1</v>
      </c>
      <c r="C14" s="8" t="s">
        <v>219</v>
      </c>
      <c r="D14" s="28">
        <v>6</v>
      </c>
    </row>
    <row r="15" spans="2:4" ht="12.75">
      <c r="B15" s="10">
        <v>2</v>
      </c>
      <c r="C15" s="8" t="s">
        <v>137</v>
      </c>
      <c r="D15" s="29">
        <v>7</v>
      </c>
    </row>
    <row r="16" spans="2:4" ht="12.75">
      <c r="B16" s="10">
        <v>3</v>
      </c>
      <c r="C16" s="8" t="s">
        <v>136</v>
      </c>
      <c r="D16" s="29">
        <v>8</v>
      </c>
    </row>
    <row r="17" spans="2:4" ht="12.75">
      <c r="B17" s="10">
        <v>4</v>
      </c>
      <c r="C17" s="8" t="s">
        <v>104</v>
      </c>
      <c r="D17" s="29">
        <v>9</v>
      </c>
    </row>
    <row r="18" spans="2:4" ht="12.75">
      <c r="B18" s="10">
        <v>5</v>
      </c>
      <c r="C18" s="8" t="s">
        <v>144</v>
      </c>
      <c r="D18" s="29">
        <v>10</v>
      </c>
    </row>
    <row r="19" spans="2:4" ht="12.75">
      <c r="B19" s="10">
        <v>6</v>
      </c>
      <c r="C19" s="8" t="s">
        <v>120</v>
      </c>
      <c r="D19" s="29">
        <v>11</v>
      </c>
    </row>
    <row r="20" spans="2:4" ht="12.75">
      <c r="B20" s="10">
        <v>7</v>
      </c>
      <c r="C20" s="8" t="s">
        <v>49</v>
      </c>
      <c r="D20" s="28">
        <v>12</v>
      </c>
    </row>
    <row r="21" spans="2:4" ht="12.75">
      <c r="B21" s="10">
        <v>8</v>
      </c>
      <c r="C21" s="8" t="s">
        <v>48</v>
      </c>
      <c r="D21" s="28">
        <v>13</v>
      </c>
    </row>
    <row r="22" spans="2:4" ht="12.75">
      <c r="B22" s="10">
        <v>9</v>
      </c>
      <c r="C22" s="8" t="s">
        <v>47</v>
      </c>
      <c r="D22" s="28">
        <v>14</v>
      </c>
    </row>
    <row r="23" spans="2:4" ht="15">
      <c r="B23" s="10">
        <v>10</v>
      </c>
      <c r="C23" s="8" t="s">
        <v>203</v>
      </c>
      <c r="D23" s="171">
        <v>15</v>
      </c>
    </row>
    <row r="24" spans="2:4" ht="12.75">
      <c r="B24" s="10">
        <v>11</v>
      </c>
      <c r="C24" s="8" t="s">
        <v>187</v>
      </c>
      <c r="D24" s="28">
        <v>16</v>
      </c>
    </row>
    <row r="25" spans="2:4" ht="12.75">
      <c r="B25" s="10">
        <v>12</v>
      </c>
      <c r="C25" s="8" t="s">
        <v>188</v>
      </c>
      <c r="D25" s="28">
        <v>17</v>
      </c>
    </row>
    <row r="26" spans="2:4" ht="6.75" customHeight="1">
      <c r="B26" s="10"/>
      <c r="C26" s="12"/>
      <c r="D26" s="11"/>
    </row>
    <row r="27" spans="2:4" ht="12.75">
      <c r="B27" s="22" t="s">
        <v>53</v>
      </c>
      <c r="C27" s="23" t="s">
        <v>52</v>
      </c>
      <c r="D27" s="21" t="s">
        <v>51</v>
      </c>
    </row>
    <row r="28" spans="2:4" ht="7.5" customHeight="1">
      <c r="B28" s="13"/>
      <c r="C28" s="12"/>
      <c r="D28" s="11"/>
    </row>
    <row r="29" spans="2:4" ht="12.75">
      <c r="B29" s="10">
        <v>1</v>
      </c>
      <c r="C29" s="24" t="s">
        <v>133</v>
      </c>
      <c r="D29" s="28">
        <v>6</v>
      </c>
    </row>
    <row r="30" spans="2:4" ht="12.75">
      <c r="B30" s="10">
        <v>2</v>
      </c>
      <c r="C30" s="6" t="s">
        <v>220</v>
      </c>
      <c r="D30" s="28">
        <v>7</v>
      </c>
    </row>
    <row r="31" spans="2:4" ht="12.75">
      <c r="B31" s="10">
        <v>3</v>
      </c>
      <c r="C31" s="6" t="s">
        <v>139</v>
      </c>
      <c r="D31" s="28">
        <v>8</v>
      </c>
    </row>
    <row r="32" spans="2:4" ht="12.75">
      <c r="B32" s="10">
        <v>4</v>
      </c>
      <c r="C32" s="6" t="s">
        <v>253</v>
      </c>
      <c r="D32" s="29">
        <v>9</v>
      </c>
    </row>
    <row r="33" spans="2:4" ht="12.75">
      <c r="B33" s="10">
        <v>5</v>
      </c>
      <c r="C33" s="8" t="s">
        <v>145</v>
      </c>
      <c r="D33" s="29">
        <v>10</v>
      </c>
    </row>
    <row r="34" spans="2:4" ht="12.75">
      <c r="B34" s="10">
        <v>6</v>
      </c>
      <c r="C34" s="8" t="s">
        <v>146</v>
      </c>
      <c r="D34" s="29">
        <v>10</v>
      </c>
    </row>
    <row r="35" spans="2:4" ht="12.75">
      <c r="B35" s="10">
        <v>7</v>
      </c>
      <c r="C35" s="6" t="s">
        <v>50</v>
      </c>
      <c r="D35" s="29">
        <v>11</v>
      </c>
    </row>
    <row r="36" spans="2:4" ht="12.75">
      <c r="B36" s="10">
        <v>8</v>
      </c>
      <c r="C36" s="6" t="s">
        <v>49</v>
      </c>
      <c r="D36" s="28">
        <v>12</v>
      </c>
    </row>
    <row r="37" spans="2:4" ht="12.75">
      <c r="B37" s="10">
        <v>9</v>
      </c>
      <c r="C37" s="6" t="s">
        <v>48</v>
      </c>
      <c r="D37" s="28">
        <v>13</v>
      </c>
    </row>
    <row r="38" spans="2:4" ht="12.75">
      <c r="B38" s="10">
        <v>10</v>
      </c>
      <c r="C38" s="6" t="s">
        <v>47</v>
      </c>
      <c r="D38" s="28">
        <v>14</v>
      </c>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horizontalCentered="1"/>
  <pageMargins left="0.7086614173228347" right="0.7086614173228347" top="1.299212598425197" bottom="0.7480314960629921" header="0.31496062992125984" footer="0.31496062992125984"/>
  <pageSetup fitToHeight="1" fitToWidth="1" horizontalDpi="600" verticalDpi="600" orientation="portrait" paperSize="122" scale="82"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N10"/>
  <sheetViews>
    <sheetView zoomScale="80" zoomScaleNormal="80" zoomScaleSheetLayoutView="80" zoomScalePageLayoutView="80" workbookViewId="0" topLeftCell="A8">
      <selection activeCell="B11" sqref="B11"/>
    </sheetView>
  </sheetViews>
  <sheetFormatPr defaultColWidth="10.8515625" defaultRowHeight="15"/>
  <cols>
    <col min="1" max="1" width="1.28515625" style="20" customWidth="1"/>
    <col min="2" max="12" width="15.8515625" style="20" customWidth="1"/>
    <col min="13" max="13" width="2.00390625" style="20" customWidth="1"/>
    <col min="14" max="20" width="10.8515625" style="20" customWidth="1"/>
    <col min="21" max="16384" width="10.8515625" style="20" customWidth="1"/>
  </cols>
  <sheetData>
    <row r="1" ht="7.5" customHeight="1"/>
    <row r="2" spans="2:14" ht="16.5" customHeight="1">
      <c r="B2" s="347" t="s">
        <v>153</v>
      </c>
      <c r="C2" s="347"/>
      <c r="D2" s="347"/>
      <c r="E2" s="347"/>
      <c r="F2" s="347"/>
      <c r="G2" s="347"/>
      <c r="H2" s="347"/>
      <c r="I2" s="347"/>
      <c r="J2" s="347"/>
      <c r="K2" s="347"/>
      <c r="L2" s="347"/>
      <c r="M2" s="154"/>
      <c r="N2" s="62" t="s">
        <v>147</v>
      </c>
    </row>
    <row r="3" spans="2:14" ht="16.5" customHeight="1">
      <c r="B3" s="318"/>
      <c r="C3" s="318"/>
      <c r="D3" s="318"/>
      <c r="E3" s="318"/>
      <c r="F3" s="318"/>
      <c r="G3" s="318"/>
      <c r="H3" s="318"/>
      <c r="I3" s="318"/>
      <c r="J3" s="318"/>
      <c r="K3" s="318"/>
      <c r="L3" s="318"/>
      <c r="M3" s="319"/>
      <c r="N3" s="62"/>
    </row>
    <row r="4" spans="2:14" ht="16.5" customHeight="1">
      <c r="B4" s="318"/>
      <c r="C4" s="318"/>
      <c r="D4" s="318"/>
      <c r="E4" s="318"/>
      <c r="F4" s="318"/>
      <c r="G4" s="318"/>
      <c r="H4" s="318"/>
      <c r="I4" s="318"/>
      <c r="J4" s="318"/>
      <c r="K4" s="318"/>
      <c r="L4" s="318"/>
      <c r="M4" s="319"/>
      <c r="N4" s="62"/>
    </row>
    <row r="5" spans="2:13" ht="12.75">
      <c r="B5" s="298"/>
      <c r="C5" s="298"/>
      <c r="D5" s="298"/>
      <c r="E5" s="298"/>
      <c r="F5" s="298"/>
      <c r="G5" s="298"/>
      <c r="H5" s="298"/>
      <c r="I5" s="298"/>
      <c r="J5" s="298"/>
      <c r="K5" s="298"/>
      <c r="L5" s="298"/>
      <c r="M5" s="2"/>
    </row>
    <row r="6" spans="2:13" ht="233.25" customHeight="1">
      <c r="B6" s="348" t="s">
        <v>281</v>
      </c>
      <c r="C6" s="348"/>
      <c r="D6" s="348"/>
      <c r="E6" s="348"/>
      <c r="F6" s="348"/>
      <c r="G6" s="348"/>
      <c r="H6" s="348"/>
      <c r="I6" s="348"/>
      <c r="J6" s="348"/>
      <c r="K6" s="348"/>
      <c r="L6" s="348"/>
      <c r="M6" s="155"/>
    </row>
    <row r="7" spans="2:13" ht="220.5" customHeight="1">
      <c r="B7" s="348" t="s">
        <v>282</v>
      </c>
      <c r="C7" s="348"/>
      <c r="D7" s="348"/>
      <c r="E7" s="348"/>
      <c r="F7" s="348"/>
      <c r="G7" s="348"/>
      <c r="H7" s="348"/>
      <c r="I7" s="348"/>
      <c r="J7" s="348"/>
      <c r="K7" s="348"/>
      <c r="L7" s="348"/>
      <c r="M7" s="155"/>
    </row>
    <row r="8" spans="2:13" ht="300.75" customHeight="1">
      <c r="B8" s="348" t="s">
        <v>274</v>
      </c>
      <c r="C8" s="348"/>
      <c r="D8" s="348"/>
      <c r="E8" s="348"/>
      <c r="F8" s="348"/>
      <c r="G8" s="348"/>
      <c r="H8" s="348"/>
      <c r="I8" s="348"/>
      <c r="J8" s="348"/>
      <c r="K8" s="348"/>
      <c r="L8" s="348"/>
      <c r="M8" s="155"/>
    </row>
    <row r="9" spans="2:13" ht="114" customHeight="1">
      <c r="B9" s="348" t="s">
        <v>283</v>
      </c>
      <c r="C9" s="348"/>
      <c r="D9" s="348"/>
      <c r="E9" s="348"/>
      <c r="F9" s="348"/>
      <c r="G9" s="348"/>
      <c r="H9" s="348"/>
      <c r="I9" s="348"/>
      <c r="J9" s="348"/>
      <c r="K9" s="348"/>
      <c r="L9" s="348"/>
      <c r="M9" s="155"/>
    </row>
    <row r="10" spans="2:12" ht="190.5" customHeight="1">
      <c r="B10" s="348" t="s">
        <v>284</v>
      </c>
      <c r="C10" s="348"/>
      <c r="D10" s="348"/>
      <c r="E10" s="348"/>
      <c r="F10" s="348"/>
      <c r="G10" s="348"/>
      <c r="H10" s="348"/>
      <c r="I10" s="348"/>
      <c r="J10" s="348"/>
      <c r="K10" s="348"/>
      <c r="L10" s="348"/>
    </row>
  </sheetData>
  <sheetProtection/>
  <mergeCells count="6">
    <mergeCell ref="B2:L2"/>
    <mergeCell ref="B6:L6"/>
    <mergeCell ref="B7:L7"/>
    <mergeCell ref="B8:L8"/>
    <mergeCell ref="B10:L10"/>
    <mergeCell ref="B9:L9"/>
  </mergeCells>
  <hyperlinks>
    <hyperlink ref="N2" location="Índice!A1" display="Volver al índice"/>
  </hyperlinks>
  <printOptions horizontalCentered="1"/>
  <pageMargins left="0.5118110236220472" right="0.5118110236220472" top="1.299212598425197" bottom="0.7480314960629921" header="0.31496062992125984" footer="0.31496062992125984"/>
  <pageSetup fitToHeight="0" fitToWidth="1" horizontalDpi="600" verticalDpi="600" orientation="portrait" paperSize="122" scale="55" r:id="rId1"/>
  <headerFooter differentFirst="1">
    <oddFooter>&amp;C&amp;P</oddFooter>
  </headerFooter>
  <colBreaks count="1" manualBreakCount="1">
    <brk id="12" min="1" max="7" man="1"/>
  </colBreaks>
</worksheet>
</file>

<file path=xl/worksheets/sheet6.xml><?xml version="1.0" encoding="utf-8"?>
<worksheet xmlns="http://schemas.openxmlformats.org/spreadsheetml/2006/main" xmlns:r="http://schemas.openxmlformats.org/officeDocument/2006/relationships">
  <sheetPr>
    <pageSetUpPr fitToPage="1"/>
  </sheetPr>
  <dimension ref="B2:W22"/>
  <sheetViews>
    <sheetView zoomScale="80" zoomScaleNormal="80" zoomScaleSheetLayoutView="80" zoomScalePageLayoutView="125" workbookViewId="0" topLeftCell="A1">
      <selection activeCell="A1" sqref="A1"/>
    </sheetView>
  </sheetViews>
  <sheetFormatPr defaultColWidth="10.8515625" defaultRowHeight="15"/>
  <cols>
    <col min="1" max="1" width="1.421875" style="20" customWidth="1"/>
    <col min="2" max="2" width="38.421875" style="20" customWidth="1"/>
    <col min="3" max="7" width="10.8515625" style="20" customWidth="1"/>
    <col min="8" max="8" width="2.8515625" style="20" customWidth="1"/>
    <col min="9" max="9" width="10.8515625" style="20" customWidth="1"/>
    <col min="10" max="16384" width="10.8515625" style="20" customWidth="1"/>
  </cols>
  <sheetData>
    <row r="1" ht="13.5" customHeight="1"/>
    <row r="2" spans="2:9" ht="12.75" customHeight="1">
      <c r="B2" s="353" t="s">
        <v>57</v>
      </c>
      <c r="C2" s="353"/>
      <c r="D2" s="353"/>
      <c r="E2" s="353"/>
      <c r="F2" s="353"/>
      <c r="G2" s="353"/>
      <c r="I2" s="44" t="s">
        <v>147</v>
      </c>
    </row>
    <row r="3" spans="2:7" ht="12.75" customHeight="1">
      <c r="B3" s="353" t="s">
        <v>132</v>
      </c>
      <c r="C3" s="353"/>
      <c r="D3" s="353"/>
      <c r="E3" s="353"/>
      <c r="F3" s="353"/>
      <c r="G3" s="353"/>
    </row>
    <row r="4" spans="2:7" ht="12.75">
      <c r="B4" s="353" t="s">
        <v>245</v>
      </c>
      <c r="C4" s="353"/>
      <c r="D4" s="353"/>
      <c r="E4" s="353"/>
      <c r="F4" s="353"/>
      <c r="G4" s="353"/>
    </row>
    <row r="5" spans="2:9" ht="12.75">
      <c r="B5" s="2"/>
      <c r="C5" s="2"/>
      <c r="D5" s="2"/>
      <c r="E5" s="2"/>
      <c r="F5" s="2"/>
      <c r="G5" s="2"/>
      <c r="I5" s="142"/>
    </row>
    <row r="6" spans="2:9" ht="12.75">
      <c r="B6" s="351" t="s">
        <v>46</v>
      </c>
      <c r="C6" s="350" t="s">
        <v>45</v>
      </c>
      <c r="D6" s="350"/>
      <c r="E6" s="350"/>
      <c r="F6" s="350" t="s">
        <v>44</v>
      </c>
      <c r="G6" s="350"/>
      <c r="I6" s="142"/>
    </row>
    <row r="7" spans="2:9" ht="12.75">
      <c r="B7" s="352"/>
      <c r="C7" s="224">
        <v>2015</v>
      </c>
      <c r="D7" s="223">
        <f>+C7+1</f>
        <v>2016</v>
      </c>
      <c r="E7" s="223">
        <f>+D7+1</f>
        <v>2017</v>
      </c>
      <c r="F7" s="249" t="s">
        <v>43</v>
      </c>
      <c r="G7" s="249" t="s">
        <v>42</v>
      </c>
      <c r="I7" s="142"/>
    </row>
    <row r="8" spans="2:9" ht="12.75">
      <c r="B8" s="90" t="s">
        <v>41</v>
      </c>
      <c r="C8" s="144">
        <v>212.69</v>
      </c>
      <c r="D8" s="144">
        <v>196.24</v>
      </c>
      <c r="E8" s="144">
        <v>120.48</v>
      </c>
      <c r="F8" s="145">
        <f>(E8/D19-1)*100</f>
        <v>-12.626006236855458</v>
      </c>
      <c r="G8" s="145">
        <f>(E8/D8-1)*100</f>
        <v>-38.60578883000407</v>
      </c>
      <c r="I8" s="142"/>
    </row>
    <row r="9" spans="2:9" ht="12.75">
      <c r="B9" s="91" t="s">
        <v>40</v>
      </c>
      <c r="C9" s="145">
        <v>200.61</v>
      </c>
      <c r="D9" s="145">
        <v>180.84</v>
      </c>
      <c r="E9" s="145">
        <v>137.6</v>
      </c>
      <c r="F9" s="145">
        <f aca="true" t="shared" si="0" ref="F9:F14">(E9/E8-1)*100</f>
        <v>14.209827357237703</v>
      </c>
      <c r="G9" s="145">
        <f>(E9/D9-1)*100</f>
        <v>-23.910639239106402</v>
      </c>
      <c r="I9" s="142"/>
    </row>
    <row r="10" spans="2:23" ht="12.75">
      <c r="B10" s="91" t="s">
        <v>39</v>
      </c>
      <c r="C10" s="145">
        <v>210.48</v>
      </c>
      <c r="D10" s="145">
        <v>181.1</v>
      </c>
      <c r="E10" s="145">
        <v>143.95</v>
      </c>
      <c r="F10" s="145">
        <f t="shared" si="0"/>
        <v>4.614825581395343</v>
      </c>
      <c r="G10" s="145">
        <f>(E10/D10-1)*100</f>
        <v>-20.513528437327444</v>
      </c>
      <c r="I10" s="142"/>
      <c r="L10" s="142"/>
      <c r="M10" s="142"/>
      <c r="N10" s="142"/>
      <c r="O10" s="142"/>
      <c r="P10" s="142"/>
      <c r="Q10" s="142"/>
      <c r="R10" s="142"/>
      <c r="S10" s="142"/>
      <c r="T10" s="142"/>
      <c r="U10" s="142"/>
      <c r="V10" s="142"/>
      <c r="W10" s="142"/>
    </row>
    <row r="11" spans="2:23" ht="12.75">
      <c r="B11" s="91" t="s">
        <v>38</v>
      </c>
      <c r="C11" s="145">
        <v>252.76</v>
      </c>
      <c r="D11" s="145">
        <v>174.37</v>
      </c>
      <c r="E11" s="146">
        <v>139.89</v>
      </c>
      <c r="F11" s="145">
        <f t="shared" si="0"/>
        <v>-2.8204237582493907</v>
      </c>
      <c r="G11" s="145">
        <f>(E11/D11-1)*100</f>
        <v>-19.774043700177792</v>
      </c>
      <c r="I11" s="142"/>
      <c r="L11" s="142"/>
      <c r="M11" s="142"/>
      <c r="N11" s="142"/>
      <c r="O11" s="142"/>
      <c r="P11" s="142"/>
      <c r="Q11" s="142"/>
      <c r="R11" s="142"/>
      <c r="S11" s="142"/>
      <c r="T11" s="142"/>
      <c r="U11" s="142"/>
      <c r="V11" s="142"/>
      <c r="W11" s="142"/>
    </row>
    <row r="12" spans="2:9" ht="12.75">
      <c r="B12" s="91" t="s">
        <v>37</v>
      </c>
      <c r="C12" s="145">
        <v>235.08</v>
      </c>
      <c r="D12" s="145">
        <v>217.98</v>
      </c>
      <c r="E12" s="146">
        <v>140.08</v>
      </c>
      <c r="F12" s="145">
        <f t="shared" si="0"/>
        <v>0.1358210022160522</v>
      </c>
      <c r="G12" s="145">
        <f>(E12/D12-1)*100</f>
        <v>-35.73722359849527</v>
      </c>
      <c r="I12" s="142"/>
    </row>
    <row r="13" spans="2:9" ht="12.75">
      <c r="B13" s="91" t="s">
        <v>36</v>
      </c>
      <c r="C13" s="145">
        <v>228.59</v>
      </c>
      <c r="D13" s="145">
        <v>243.56</v>
      </c>
      <c r="E13" s="145">
        <v>126.73</v>
      </c>
      <c r="F13" s="145">
        <f t="shared" si="0"/>
        <v>-9.53026841804684</v>
      </c>
      <c r="G13" s="145">
        <f>(E13/D13-1)*100</f>
        <v>-47.96764657579241</v>
      </c>
      <c r="I13" s="142"/>
    </row>
    <row r="14" spans="2:9" ht="12.75">
      <c r="B14" s="91" t="s">
        <v>35</v>
      </c>
      <c r="C14" s="145">
        <v>268.59</v>
      </c>
      <c r="D14" s="145">
        <v>245.19</v>
      </c>
      <c r="E14" s="146">
        <v>129.41</v>
      </c>
      <c r="F14" s="145">
        <f t="shared" si="0"/>
        <v>2.1147321076303793</v>
      </c>
      <c r="G14" s="145">
        <f>(E14/D14-1)*100</f>
        <v>-47.220522859823</v>
      </c>
      <c r="I14" s="142"/>
    </row>
    <row r="15" spans="2:9" ht="12.75">
      <c r="B15" s="91" t="s">
        <v>34</v>
      </c>
      <c r="C15" s="145">
        <v>374.35</v>
      </c>
      <c r="D15" s="145">
        <v>266.75</v>
      </c>
      <c r="E15" s="146">
        <v>125.43</v>
      </c>
      <c r="F15" s="145">
        <f>(E15/E14-1)*100</f>
        <v>-3.075496484042961</v>
      </c>
      <c r="G15" s="145">
        <f>(E15/D15-1)*100</f>
        <v>-52.978444236176195</v>
      </c>
      <c r="I15" s="142"/>
    </row>
    <row r="16" spans="2:9" ht="12.75">
      <c r="B16" s="91" t="s">
        <v>33</v>
      </c>
      <c r="C16" s="145">
        <v>344.46</v>
      </c>
      <c r="D16" s="145">
        <v>232.53</v>
      </c>
      <c r="E16" s="145">
        <v>139.24</v>
      </c>
      <c r="F16" s="145">
        <f>(E16/E15-1)*100</f>
        <v>11.010125169417195</v>
      </c>
      <c r="G16" s="145">
        <f>(E16/D16-1)*100</f>
        <v>-40.11955446609039</v>
      </c>
      <c r="I16" s="142"/>
    </row>
    <row r="17" spans="2:9" ht="12.75">
      <c r="B17" s="91" t="s">
        <v>32</v>
      </c>
      <c r="C17" s="145">
        <v>386.05</v>
      </c>
      <c r="D17" s="145">
        <v>231.59</v>
      </c>
      <c r="E17" s="145">
        <v>149.24</v>
      </c>
      <c r="F17" s="145">
        <f>(E17/E16-1)*100</f>
        <v>7.181844297615636</v>
      </c>
      <c r="G17" s="145">
        <f>(E17/D17-1)*100</f>
        <v>-35.55853016106049</v>
      </c>
      <c r="I17" s="142"/>
    </row>
    <row r="18" spans="2:9" ht="12.75">
      <c r="B18" s="91" t="s">
        <v>31</v>
      </c>
      <c r="C18" s="145">
        <v>396.11</v>
      </c>
      <c r="D18" s="145">
        <v>210.93</v>
      </c>
      <c r="E18" s="145">
        <v>228.5</v>
      </c>
      <c r="F18" s="145">
        <f>(E18/E17-1)*100</f>
        <v>53.10908603591529</v>
      </c>
      <c r="G18" s="145">
        <f>(E18/D18-1)*100</f>
        <v>8.32977765135352</v>
      </c>
      <c r="I18" s="142"/>
    </row>
    <row r="19" spans="2:9" ht="12.75">
      <c r="B19" s="2" t="s">
        <v>30</v>
      </c>
      <c r="C19" s="147">
        <v>277.5</v>
      </c>
      <c r="D19" s="147">
        <v>137.89</v>
      </c>
      <c r="E19" s="147">
        <v>283.95</v>
      </c>
      <c r="F19" s="145">
        <f>(E19/E18-1)*100</f>
        <v>24.266958424507656</v>
      </c>
      <c r="G19" s="145">
        <f>(E19/D19-1)*100</f>
        <v>105.92501269127568</v>
      </c>
      <c r="I19" s="142"/>
    </row>
    <row r="20" spans="2:9" ht="12.75">
      <c r="B20" s="4" t="s">
        <v>246</v>
      </c>
      <c r="C20" s="148">
        <v>282.27</v>
      </c>
      <c r="D20" s="148">
        <v>209.91</v>
      </c>
      <c r="E20" s="306">
        <v>155.38</v>
      </c>
      <c r="F20" s="148"/>
      <c r="G20" s="148">
        <f>(E20/D20-1)*100</f>
        <v>-25.977800009527897</v>
      </c>
      <c r="I20" s="142"/>
    </row>
    <row r="21" spans="2:9" ht="12.75">
      <c r="B21" s="3" t="s">
        <v>247</v>
      </c>
      <c r="C21" s="149">
        <f>AVERAGE(C8:C19)</f>
        <v>282.2725</v>
      </c>
      <c r="D21" s="149">
        <f>AVERAGE(D8:D19)</f>
        <v>209.91416666666666</v>
      </c>
      <c r="E21" s="149">
        <f>AVERAGE(E8:E19)</f>
        <v>155.375</v>
      </c>
      <c r="F21" s="149"/>
      <c r="G21" s="149">
        <f>(E21/D21-1)*100</f>
        <v>-25.981651230463243</v>
      </c>
      <c r="I21" s="142"/>
    </row>
    <row r="22" spans="2:9" ht="74.25" customHeight="1">
      <c r="B22" s="349" t="s">
        <v>248</v>
      </c>
      <c r="C22" s="349"/>
      <c r="D22" s="349"/>
      <c r="E22" s="349"/>
      <c r="F22" s="349"/>
      <c r="G22" s="349"/>
      <c r="H22" s="228"/>
      <c r="I22" s="142"/>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22" scale="84"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Z41"/>
  <sheetViews>
    <sheetView zoomScale="80" zoomScaleNormal="80" zoomScalePageLayoutView="0" workbookViewId="0" topLeftCell="A1">
      <selection activeCell="A1" sqref="A1"/>
    </sheetView>
  </sheetViews>
  <sheetFormatPr defaultColWidth="10.8515625" defaultRowHeight="15"/>
  <cols>
    <col min="1" max="1" width="1.421875" style="204" customWidth="1"/>
    <col min="2" max="11" width="11.00390625" style="204" customWidth="1"/>
    <col min="12" max="12" width="12.28125" style="204" customWidth="1"/>
    <col min="13" max="13" width="3.421875" style="204" customWidth="1"/>
    <col min="14" max="14" width="14.140625" style="204" customWidth="1"/>
    <col min="15" max="15" width="10.8515625" style="139" customWidth="1"/>
    <col min="16" max="26" width="10.8515625" style="308" hidden="1" customWidth="1"/>
    <col min="27" max="27" width="10.8515625" style="139" customWidth="1"/>
    <col min="28" max="16384" width="10.8515625" style="204" customWidth="1"/>
  </cols>
  <sheetData>
    <row r="1" ht="6.75" customHeight="1"/>
    <row r="2" spans="2:15" ht="12.75">
      <c r="B2" s="357" t="s">
        <v>58</v>
      </c>
      <c r="C2" s="357"/>
      <c r="D2" s="357"/>
      <c r="E2" s="357"/>
      <c r="F2" s="357"/>
      <c r="G2" s="357"/>
      <c r="H2" s="357"/>
      <c r="I2" s="357"/>
      <c r="J2" s="357"/>
      <c r="K2" s="357"/>
      <c r="L2" s="357"/>
      <c r="M2" s="128"/>
      <c r="N2" s="44" t="s">
        <v>147</v>
      </c>
      <c r="O2" s="141"/>
    </row>
    <row r="3" spans="2:15" ht="12.75">
      <c r="B3" s="357" t="s">
        <v>137</v>
      </c>
      <c r="C3" s="357"/>
      <c r="D3" s="357"/>
      <c r="E3" s="357"/>
      <c r="F3" s="357"/>
      <c r="G3" s="357"/>
      <c r="H3" s="357"/>
      <c r="I3" s="357"/>
      <c r="J3" s="357"/>
      <c r="K3" s="357"/>
      <c r="L3" s="357"/>
      <c r="M3" s="224"/>
      <c r="N3" s="223"/>
      <c r="O3" s="219"/>
    </row>
    <row r="4" spans="2:15" ht="12.75">
      <c r="B4" s="357" t="s">
        <v>269</v>
      </c>
      <c r="C4" s="357"/>
      <c r="D4" s="357"/>
      <c r="E4" s="357"/>
      <c r="F4" s="357"/>
      <c r="G4" s="357"/>
      <c r="H4" s="357"/>
      <c r="I4" s="357"/>
      <c r="J4" s="357"/>
      <c r="K4" s="357"/>
      <c r="L4" s="357"/>
      <c r="M4" s="224"/>
      <c r="N4" s="223"/>
      <c r="O4" s="219"/>
    </row>
    <row r="5" spans="2:26" ht="25.5">
      <c r="B5" s="56" t="s">
        <v>63</v>
      </c>
      <c r="C5" s="81" t="s">
        <v>61</v>
      </c>
      <c r="D5" s="81" t="s">
        <v>121</v>
      </c>
      <c r="E5" s="81" t="s">
        <v>62</v>
      </c>
      <c r="F5" s="81" t="s">
        <v>277</v>
      </c>
      <c r="G5" s="81" t="s">
        <v>267</v>
      </c>
      <c r="H5" s="81" t="s">
        <v>127</v>
      </c>
      <c r="I5" s="81" t="s">
        <v>268</v>
      </c>
      <c r="J5" s="81" t="s">
        <v>156</v>
      </c>
      <c r="K5" s="81" t="s">
        <v>259</v>
      </c>
      <c r="L5" s="81" t="s">
        <v>68</v>
      </c>
      <c r="M5" s="211"/>
      <c r="Q5" s="332" t="str">
        <f>+C5</f>
        <v>Asterix</v>
      </c>
      <c r="R5" s="332" t="str">
        <f>+D5</f>
        <v>Cardinal</v>
      </c>
      <c r="S5" s="332" t="str">
        <f>+E5</f>
        <v>Désirée</v>
      </c>
      <c r="T5" s="332" t="str">
        <f>+F5</f>
        <v>  Karú -
Inia</v>
      </c>
      <c r="U5" s="332" t="str">
        <f>+G5</f>
        <v>Pukará - Inia</v>
      </c>
      <c r="V5" s="332" t="str">
        <f>+H5</f>
        <v>Rodeo</v>
      </c>
      <c r="W5" s="332" t="str">
        <f>+I5</f>
        <v>Patagonia - Inia</v>
      </c>
      <c r="X5" s="332" t="str">
        <f>+J5</f>
        <v>Rosara</v>
      </c>
      <c r="Y5" s="332" t="s">
        <v>259</v>
      </c>
      <c r="Z5" s="332" t="s">
        <v>264</v>
      </c>
    </row>
    <row r="6" spans="2:26" ht="12.75">
      <c r="B6" s="88">
        <v>43055</v>
      </c>
      <c r="C6" s="137">
        <v>7438.351666666668</v>
      </c>
      <c r="D6" s="137">
        <v>6264.43</v>
      </c>
      <c r="E6" s="137"/>
      <c r="F6" s="137"/>
      <c r="G6" s="137">
        <v>5346.2075</v>
      </c>
      <c r="H6" s="137">
        <v>4096.64</v>
      </c>
      <c r="I6" s="137">
        <v>4857.265</v>
      </c>
      <c r="J6" s="137">
        <v>5659.5</v>
      </c>
      <c r="K6" s="268"/>
      <c r="L6" s="137">
        <v>5706.726086956521</v>
      </c>
      <c r="Q6" s="333">
        <f aca="true" t="shared" si="0" ref="Q6:Q35">+IF(C6="","",((C6-$L6)/$L6))</f>
        <v>0.3034359023587986</v>
      </c>
      <c r="R6" s="333">
        <f aca="true" t="shared" si="1" ref="R6:R35">+IF(D6="","",((D6-$L6)/$L6))</f>
        <v>0.09772747185434147</v>
      </c>
      <c r="S6" s="333">
        <f aca="true" t="shared" si="2" ref="S6:S35">+IF(E6="","",((E6-$L6)/$L6))</f>
      </c>
      <c r="T6" s="333">
        <f aca="true" t="shared" si="3" ref="T6:T35">+IF(F6="","",((F6-$L6)/$L6))</f>
      </c>
      <c r="U6" s="333">
        <f aca="true" t="shared" si="4" ref="U6:U35">+IF(G6="","",((G6-$L6)/$L6))</f>
        <v>-0.0631743282335792</v>
      </c>
      <c r="V6" s="333">
        <f aca="true" t="shared" si="5" ref="V6:V35">+IF(H6="","",((H6-$L6)/$L6))</f>
        <v>-0.2821383158088813</v>
      </c>
      <c r="W6" s="333">
        <f aca="true" t="shared" si="6" ref="W6:W35">+IF(I6="","",((I6-$L6)/$L6))</f>
        <v>-0.14885261251597065</v>
      </c>
      <c r="X6" s="333">
        <f aca="true" t="shared" si="7" ref="X6:X35">+IF(J6="","",((J6-$L6)/$L6))</f>
        <v>-0.00827551318162303</v>
      </c>
      <c r="Y6" s="333">
        <f aca="true" t="shared" si="8" ref="Y6:Y35">+IF(K6="","",((K6-$L6)/$L6))</f>
      </c>
      <c r="Z6" s="333"/>
    </row>
    <row r="7" spans="2:26" ht="12.75">
      <c r="B7" s="89">
        <v>43056</v>
      </c>
      <c r="C7" s="85">
        <v>6572.740000000001</v>
      </c>
      <c r="D7" s="85">
        <v>6245.094999999999</v>
      </c>
      <c r="E7" s="85"/>
      <c r="F7" s="85"/>
      <c r="G7" s="85">
        <v>5182.296666666667</v>
      </c>
      <c r="H7" s="85">
        <v>5812.325000000001</v>
      </c>
      <c r="I7" s="85">
        <v>5009.182000000001</v>
      </c>
      <c r="J7" s="85">
        <v>5449.92</v>
      </c>
      <c r="K7" s="85"/>
      <c r="L7" s="85">
        <v>5723.403333333333</v>
      </c>
      <c r="Q7" s="333">
        <f t="shared" si="0"/>
        <v>0.14839713666868395</v>
      </c>
      <c r="R7" s="333">
        <f t="shared" si="1"/>
        <v>0.09115060328324465</v>
      </c>
      <c r="S7" s="333">
        <f t="shared" si="2"/>
      </c>
      <c r="T7" s="333">
        <f t="shared" si="3"/>
      </c>
      <c r="U7" s="333">
        <f t="shared" si="4"/>
        <v>-0.09454281572560831</v>
      </c>
      <c r="V7" s="333">
        <f t="shared" si="5"/>
        <v>0.015536501883203758</v>
      </c>
      <c r="W7" s="333">
        <f t="shared" si="6"/>
        <v>-0.12478962109374296</v>
      </c>
      <c r="X7" s="333">
        <f t="shared" si="7"/>
        <v>-0.047783341030773537</v>
      </c>
      <c r="Y7" s="333">
        <f t="shared" si="8"/>
      </c>
      <c r="Z7" s="333"/>
    </row>
    <row r="8" spans="2:26" ht="12.75">
      <c r="B8" s="89">
        <v>43059</v>
      </c>
      <c r="C8" s="85">
        <v>7232.043333333332</v>
      </c>
      <c r="D8" s="85">
        <v>6760.09</v>
      </c>
      <c r="E8" s="85"/>
      <c r="F8" s="85">
        <v>5042.02</v>
      </c>
      <c r="G8" s="85">
        <v>5029.95</v>
      </c>
      <c r="H8" s="85">
        <v>6104.79</v>
      </c>
      <c r="I8" s="85">
        <v>4569.3275</v>
      </c>
      <c r="J8" s="85">
        <v>5663.13</v>
      </c>
      <c r="K8" s="85"/>
      <c r="L8" s="85">
        <v>5759.59375</v>
      </c>
      <c r="Q8" s="333">
        <f t="shared" si="0"/>
        <v>0.2556516392034303</v>
      </c>
      <c r="R8" s="333">
        <f t="shared" si="1"/>
        <v>0.17370951727281114</v>
      </c>
      <c r="S8" s="333">
        <f t="shared" si="2"/>
      </c>
      <c r="T8" s="333">
        <f t="shared" si="3"/>
        <v>-0.12458756314193159</v>
      </c>
      <c r="U8" s="333">
        <f t="shared" si="4"/>
        <v>-0.12668319705708414</v>
      </c>
      <c r="V8" s="333">
        <f t="shared" si="5"/>
        <v>0.05993413163905874</v>
      </c>
      <c r="W8" s="333">
        <f t="shared" si="6"/>
        <v>-0.20665802167036515</v>
      </c>
      <c r="X8" s="333">
        <f t="shared" si="7"/>
        <v>-0.01674836007313882</v>
      </c>
      <c r="Y8" s="333">
        <f t="shared" si="8"/>
      </c>
      <c r="Z8" s="333"/>
    </row>
    <row r="9" spans="2:26" ht="12.75">
      <c r="B9" s="89">
        <v>43060</v>
      </c>
      <c r="C9" s="85">
        <v>5762.893333333333</v>
      </c>
      <c r="D9" s="85">
        <v>7230.360000000001</v>
      </c>
      <c r="E9" s="85"/>
      <c r="F9" s="85">
        <v>4201.68</v>
      </c>
      <c r="G9" s="85">
        <v>7897.046666666666</v>
      </c>
      <c r="H9" s="85">
        <v>6422.57</v>
      </c>
      <c r="I9" s="85">
        <v>4508.4887499999995</v>
      </c>
      <c r="J9" s="85">
        <v>5774.415</v>
      </c>
      <c r="K9" s="85"/>
      <c r="L9" s="85">
        <v>5719.242857142856</v>
      </c>
      <c r="Q9" s="333">
        <f t="shared" si="0"/>
        <v>0.007632212389085961</v>
      </c>
      <c r="R9" s="333">
        <f t="shared" si="1"/>
        <v>0.26421629236637245</v>
      </c>
      <c r="S9" s="333">
        <f t="shared" si="2"/>
      </c>
      <c r="T9" s="333">
        <f t="shared" si="3"/>
        <v>-0.2653433146745197</v>
      </c>
      <c r="U9" s="333">
        <f t="shared" si="4"/>
        <v>0.3807853353882175</v>
      </c>
      <c r="V9" s="333">
        <f t="shared" si="5"/>
        <v>0.12297556869415792</v>
      </c>
      <c r="W9" s="333">
        <f t="shared" si="6"/>
        <v>-0.2116983204570035</v>
      </c>
      <c r="X9" s="333">
        <f t="shared" si="7"/>
        <v>0.009646756438789487</v>
      </c>
      <c r="Y9" s="333">
        <f t="shared" si="8"/>
      </c>
      <c r="Z9" s="333"/>
    </row>
    <row r="10" spans="2:26" ht="12.75">
      <c r="B10" s="89">
        <v>43061</v>
      </c>
      <c r="C10" s="85">
        <v>7558.410000000001</v>
      </c>
      <c r="D10" s="85">
        <v>7139.195</v>
      </c>
      <c r="E10" s="85">
        <v>5931.78</v>
      </c>
      <c r="F10" s="85">
        <v>4201.68</v>
      </c>
      <c r="G10" s="85">
        <v>6785.142500000001</v>
      </c>
      <c r="H10" s="85">
        <v>4201.68</v>
      </c>
      <c r="I10" s="85">
        <v>5887.983333333334</v>
      </c>
      <c r="J10" s="85">
        <v>5641.025</v>
      </c>
      <c r="K10" s="85"/>
      <c r="L10" s="85">
        <v>6316.195882352943</v>
      </c>
      <c r="Q10" s="333">
        <f t="shared" si="0"/>
        <v>0.19667124655169838</v>
      </c>
      <c r="R10" s="333">
        <f t="shared" si="1"/>
        <v>0.13029980909022545</v>
      </c>
      <c r="S10" s="333">
        <f t="shared" si="2"/>
        <v>-0.06086193169324867</v>
      </c>
      <c r="T10" s="333">
        <f t="shared" si="3"/>
        <v>-0.3347768058081872</v>
      </c>
      <c r="U10" s="333">
        <f t="shared" si="4"/>
        <v>0.07424510360061273</v>
      </c>
      <c r="V10" s="333">
        <f t="shared" si="5"/>
        <v>-0.3347768058081872</v>
      </c>
      <c r="W10" s="333">
        <f t="shared" si="6"/>
        <v>-0.06779595772449183</v>
      </c>
      <c r="X10" s="333">
        <f t="shared" si="7"/>
        <v>-0.10689517787745131</v>
      </c>
      <c r="Y10" s="333">
        <f t="shared" si="8"/>
      </c>
      <c r="Z10" s="333"/>
    </row>
    <row r="11" spans="2:26" ht="12.75">
      <c r="B11" s="89">
        <v>43062</v>
      </c>
      <c r="C11" s="85">
        <v>7120.202</v>
      </c>
      <c r="D11" s="85">
        <v>6975.01</v>
      </c>
      <c r="E11" s="85">
        <v>10084.03</v>
      </c>
      <c r="F11" s="85"/>
      <c r="G11" s="85">
        <v>6656.450000000001</v>
      </c>
      <c r="H11" s="85"/>
      <c r="I11" s="85">
        <v>4687.71</v>
      </c>
      <c r="J11" s="85">
        <v>5773.215</v>
      </c>
      <c r="K11" s="85"/>
      <c r="L11" s="85">
        <v>6296.677500000001</v>
      </c>
      <c r="Q11" s="333">
        <f t="shared" si="0"/>
        <v>0.13078714925450755</v>
      </c>
      <c r="R11" s="333">
        <f t="shared" si="1"/>
        <v>0.10772863942928623</v>
      </c>
      <c r="S11" s="333">
        <f t="shared" si="2"/>
        <v>0.6014842748417717</v>
      </c>
      <c r="T11" s="333">
        <f t="shared" si="3"/>
      </c>
      <c r="U11" s="333">
        <f t="shared" si="4"/>
        <v>0.05713687893337399</v>
      </c>
      <c r="V11" s="333">
        <f t="shared" si="5"/>
      </c>
      <c r="W11" s="333">
        <f t="shared" si="6"/>
        <v>-0.25552642643679946</v>
      </c>
      <c r="X11" s="333">
        <f t="shared" si="7"/>
        <v>-0.08313312854279109</v>
      </c>
      <c r="Y11" s="333">
        <f t="shared" si="8"/>
      </c>
      <c r="Z11" s="333"/>
    </row>
    <row r="12" spans="2:26" ht="12.75">
      <c r="B12" s="89">
        <v>43063</v>
      </c>
      <c r="C12" s="85">
        <v>5809.466666666667</v>
      </c>
      <c r="D12" s="85">
        <v>7035.650000000001</v>
      </c>
      <c r="E12" s="85"/>
      <c r="F12" s="85"/>
      <c r="G12" s="85">
        <v>6631.972</v>
      </c>
      <c r="H12" s="85"/>
      <c r="I12" s="85">
        <v>4653.75</v>
      </c>
      <c r="J12" s="85">
        <v>5960.110000000001</v>
      </c>
      <c r="K12" s="85"/>
      <c r="L12" s="85">
        <v>5805.682222222222</v>
      </c>
      <c r="Q12" s="333">
        <f t="shared" si="0"/>
        <v>0.0006518518064870659</v>
      </c>
      <c r="R12" s="333">
        <f t="shared" si="1"/>
        <v>0.2118558561593108</v>
      </c>
      <c r="S12" s="333">
        <f t="shared" si="2"/>
      </c>
      <c r="T12" s="333">
        <f t="shared" si="3"/>
      </c>
      <c r="U12" s="333">
        <f t="shared" si="4"/>
        <v>0.14232432057941707</v>
      </c>
      <c r="V12" s="333">
        <f t="shared" si="5"/>
      </c>
      <c r="W12" s="333">
        <f t="shared" si="6"/>
        <v>-0.19841461832220306</v>
      </c>
      <c r="X12" s="333">
        <f t="shared" si="7"/>
        <v>0.026599419649026023</v>
      </c>
      <c r="Y12" s="333">
        <f t="shared" si="8"/>
      </c>
      <c r="Z12" s="333"/>
    </row>
    <row r="13" spans="2:26" ht="12.75">
      <c r="B13" s="89">
        <v>43066</v>
      </c>
      <c r="C13" s="85"/>
      <c r="D13" s="85">
        <v>6341.8</v>
      </c>
      <c r="E13" s="85">
        <v>8747.76</v>
      </c>
      <c r="F13" s="85">
        <v>5042.02</v>
      </c>
      <c r="G13" s="85">
        <v>4912.012500000001</v>
      </c>
      <c r="H13" s="85"/>
      <c r="I13" s="85">
        <v>3256.3</v>
      </c>
      <c r="J13" s="85">
        <v>5362.983333333334</v>
      </c>
      <c r="K13" s="85"/>
      <c r="L13" s="85">
        <v>5361.7699999999995</v>
      </c>
      <c r="Q13" s="333">
        <f t="shared" si="0"/>
      </c>
      <c r="R13" s="333">
        <f t="shared" si="1"/>
        <v>0.18278105923976612</v>
      </c>
      <c r="S13" s="333">
        <f t="shared" si="2"/>
        <v>0.6315060138722849</v>
      </c>
      <c r="T13" s="333">
        <f t="shared" si="3"/>
        <v>-0.05963515779304206</v>
      </c>
      <c r="U13" s="333">
        <f t="shared" si="4"/>
        <v>-0.08388228141080256</v>
      </c>
      <c r="V13" s="333">
        <f t="shared" si="5"/>
      </c>
      <c r="W13" s="333">
        <f t="shared" si="6"/>
        <v>-0.39268189422522776</v>
      </c>
      <c r="X13" s="333">
        <f t="shared" si="7"/>
        <v>0.00022629343170894105</v>
      </c>
      <c r="Y13" s="333">
        <f t="shared" si="8"/>
      </c>
      <c r="Z13" s="333"/>
    </row>
    <row r="14" spans="2:26" ht="12.75">
      <c r="B14" s="89">
        <v>43067</v>
      </c>
      <c r="C14" s="85">
        <v>8836.44</v>
      </c>
      <c r="D14" s="85">
        <v>6881.21</v>
      </c>
      <c r="E14" s="85"/>
      <c r="F14" s="85">
        <v>5042.02</v>
      </c>
      <c r="G14" s="85">
        <v>5939.884</v>
      </c>
      <c r="H14" s="85">
        <v>6255.84</v>
      </c>
      <c r="I14" s="85">
        <v>3705.476666666667</v>
      </c>
      <c r="J14" s="85">
        <v>5237.75</v>
      </c>
      <c r="K14" s="85"/>
      <c r="L14" s="85">
        <v>5838.956470588235</v>
      </c>
      <c r="Q14" s="333">
        <f t="shared" si="0"/>
        <v>0.5133594580659359</v>
      </c>
      <c r="R14" s="333">
        <f t="shared" si="1"/>
        <v>0.17849996564656104</v>
      </c>
      <c r="S14" s="333">
        <f t="shared" si="2"/>
      </c>
      <c r="T14" s="333">
        <f t="shared" si="3"/>
        <v>-0.13648611264744512</v>
      </c>
      <c r="U14" s="333">
        <f t="shared" si="4"/>
        <v>0.01728519983324989</v>
      </c>
      <c r="V14" s="333">
        <f t="shared" si="5"/>
        <v>0.07139692366464365</v>
      </c>
      <c r="W14" s="333">
        <f t="shared" si="6"/>
        <v>-0.3653871740041649</v>
      </c>
      <c r="X14" s="333">
        <f t="shared" si="7"/>
        <v>-0.10296471186531511</v>
      </c>
      <c r="Y14" s="333">
        <f t="shared" si="8"/>
      </c>
      <c r="Z14" s="333"/>
    </row>
    <row r="15" spans="2:26" ht="12.75">
      <c r="B15" s="89">
        <v>43068</v>
      </c>
      <c r="C15" s="85">
        <v>9250.62</v>
      </c>
      <c r="D15" s="85">
        <v>9019.146666666667</v>
      </c>
      <c r="E15" s="85"/>
      <c r="F15" s="85">
        <v>5357.145</v>
      </c>
      <c r="G15" s="85">
        <v>6560.543333333334</v>
      </c>
      <c r="H15" s="85"/>
      <c r="I15" s="85"/>
      <c r="J15" s="85">
        <v>5500.532</v>
      </c>
      <c r="K15" s="85"/>
      <c r="L15" s="85">
        <v>6897.150666666668</v>
      </c>
      <c r="Q15" s="333">
        <f t="shared" si="0"/>
        <v>0.34122341921678556</v>
      </c>
      <c r="R15" s="333">
        <f t="shared" si="1"/>
        <v>0.307662700520002</v>
      </c>
      <c r="S15" s="333">
        <f t="shared" si="2"/>
      </c>
      <c r="T15" s="333">
        <f t="shared" si="3"/>
        <v>-0.22328143041870635</v>
      </c>
      <c r="U15" s="333">
        <f t="shared" si="4"/>
        <v>-0.04880382488382171</v>
      </c>
      <c r="V15" s="333">
        <f t="shared" si="5"/>
      </c>
      <c r="W15" s="333">
        <f t="shared" si="6"/>
      </c>
      <c r="X15" s="333">
        <f t="shared" si="7"/>
        <v>-0.20249212090094032</v>
      </c>
      <c r="Y15" s="333">
        <f t="shared" si="8"/>
      </c>
      <c r="Z15" s="333"/>
    </row>
    <row r="16" spans="2:26" ht="12.75">
      <c r="B16" s="89">
        <v>43069</v>
      </c>
      <c r="C16" s="85">
        <v>6504.57</v>
      </c>
      <c r="D16" s="85">
        <v>7505.186666666666</v>
      </c>
      <c r="E16" s="85">
        <v>9243.7</v>
      </c>
      <c r="F16" s="85">
        <v>5042.02</v>
      </c>
      <c r="G16" s="85">
        <v>6556.274999999999</v>
      </c>
      <c r="H16" s="85"/>
      <c r="I16" s="85">
        <v>5333.16</v>
      </c>
      <c r="J16" s="85">
        <v>5373.37</v>
      </c>
      <c r="K16" s="85"/>
      <c r="L16" s="85">
        <v>6506.048124999999</v>
      </c>
      <c r="Q16" s="333">
        <f t="shared" si="0"/>
        <v>-0.0002271924479500582</v>
      </c>
      <c r="R16" s="333">
        <f t="shared" si="1"/>
        <v>0.1535707271865079</v>
      </c>
      <c r="S16" s="333">
        <f t="shared" si="2"/>
        <v>0.42078567855659715</v>
      </c>
      <c r="T16" s="333">
        <f t="shared" si="3"/>
        <v>-0.22502571405433602</v>
      </c>
      <c r="U16" s="333">
        <f t="shared" si="4"/>
        <v>0.007720028200682789</v>
      </c>
      <c r="V16" s="333">
        <f t="shared" si="5"/>
      </c>
      <c r="W16" s="333">
        <f t="shared" si="6"/>
        <v>-0.18027658302942534</v>
      </c>
      <c r="X16" s="333">
        <f t="shared" si="7"/>
        <v>-0.17409617992950208</v>
      </c>
      <c r="Y16" s="333">
        <f t="shared" si="8"/>
      </c>
      <c r="Z16" s="333"/>
    </row>
    <row r="17" spans="2:26" ht="12.75">
      <c r="B17" s="89">
        <v>43070</v>
      </c>
      <c r="C17" s="85">
        <v>6197.36</v>
      </c>
      <c r="D17" s="85">
        <v>9033.61</v>
      </c>
      <c r="E17" s="85">
        <v>8823.53</v>
      </c>
      <c r="F17" s="85"/>
      <c r="G17" s="85">
        <v>6483.724285714285</v>
      </c>
      <c r="H17" s="85"/>
      <c r="I17" s="85">
        <v>5473.42</v>
      </c>
      <c r="J17" s="85">
        <v>5260.967500000001</v>
      </c>
      <c r="K17" s="85"/>
      <c r="L17" s="85">
        <v>6363.885555555555</v>
      </c>
      <c r="Q17" s="333">
        <f t="shared" si="0"/>
        <v>-0.026167276909965998</v>
      </c>
      <c r="R17" s="333">
        <f t="shared" si="1"/>
        <v>0.41951169943869054</v>
      </c>
      <c r="S17" s="333">
        <f t="shared" si="2"/>
        <v>0.38650042068987583</v>
      </c>
      <c r="T17" s="333">
        <f t="shared" si="3"/>
      </c>
      <c r="U17" s="333">
        <f t="shared" si="4"/>
        <v>0.018831063052998018</v>
      </c>
      <c r="V17" s="333">
        <f t="shared" si="5"/>
      </c>
      <c r="W17" s="333">
        <f t="shared" si="6"/>
        <v>-0.13992482230894215</v>
      </c>
      <c r="X17" s="333">
        <f t="shared" si="7"/>
        <v>-0.17330890788768616</v>
      </c>
      <c r="Y17" s="333">
        <f t="shared" si="8"/>
      </c>
      <c r="Z17" s="333"/>
    </row>
    <row r="18" spans="2:26" ht="12.75">
      <c r="B18" s="89">
        <v>43073</v>
      </c>
      <c r="C18" s="85"/>
      <c r="D18" s="85">
        <v>11015.405</v>
      </c>
      <c r="E18" s="85">
        <v>8403.36</v>
      </c>
      <c r="F18" s="85">
        <v>5462.18</v>
      </c>
      <c r="G18" s="85">
        <v>6251.160000000001</v>
      </c>
      <c r="H18" s="85"/>
      <c r="I18" s="85">
        <v>4191.12</v>
      </c>
      <c r="J18" s="85">
        <v>5532.426666666666</v>
      </c>
      <c r="K18" s="85"/>
      <c r="L18" s="85">
        <v>6606.193076923078</v>
      </c>
      <c r="Q18" s="333">
        <f t="shared" si="0"/>
      </c>
      <c r="R18" s="333">
        <f t="shared" si="1"/>
        <v>0.6674361272423742</v>
      </c>
      <c r="S18" s="333">
        <f t="shared" si="2"/>
        <v>0.2720427486981621</v>
      </c>
      <c r="T18" s="333">
        <f t="shared" si="3"/>
        <v>-0.1731728188386399</v>
      </c>
      <c r="U18" s="333">
        <f t="shared" si="4"/>
        <v>-0.053742461473505435</v>
      </c>
      <c r="V18" s="333">
        <f t="shared" si="5"/>
      </c>
      <c r="W18" s="333">
        <f t="shared" si="6"/>
        <v>-0.3655771257064031</v>
      </c>
      <c r="X18" s="333">
        <f t="shared" si="7"/>
        <v>-0.1625393623458145</v>
      </c>
      <c r="Y18" s="333">
        <f t="shared" si="8"/>
      </c>
      <c r="Z18" s="333"/>
    </row>
    <row r="19" spans="2:26" ht="12.75">
      <c r="B19" s="89">
        <v>43074</v>
      </c>
      <c r="C19" s="85">
        <v>5573.43</v>
      </c>
      <c r="D19" s="85">
        <v>9033.61</v>
      </c>
      <c r="E19" s="85">
        <v>8403.36</v>
      </c>
      <c r="F19" s="85"/>
      <c r="G19" s="85">
        <v>6398.3325</v>
      </c>
      <c r="H19" s="85"/>
      <c r="I19" s="85">
        <v>4746.343333333333</v>
      </c>
      <c r="J19" s="85">
        <v>5906.505</v>
      </c>
      <c r="K19" s="85"/>
      <c r="L19" s="85">
        <v>6100.9775</v>
      </c>
      <c r="Q19" s="333">
        <f t="shared" si="0"/>
        <v>-0.08646934036390065</v>
      </c>
      <c r="R19" s="333">
        <f t="shared" si="1"/>
        <v>0.4806823988451032</v>
      </c>
      <c r="S19" s="333">
        <f t="shared" si="2"/>
        <v>0.37737928061527853</v>
      </c>
      <c r="T19" s="333">
        <f t="shared" si="3"/>
      </c>
      <c r="U19" s="333">
        <f t="shared" si="4"/>
        <v>0.04873891110072123</v>
      </c>
      <c r="V19" s="333">
        <f t="shared" si="5"/>
      </c>
      <c r="W19" s="333">
        <f t="shared" si="6"/>
        <v>-0.2220355945693402</v>
      </c>
      <c r="X19" s="333">
        <f t="shared" si="7"/>
        <v>-0.03187562976588585</v>
      </c>
      <c r="Y19" s="333">
        <f t="shared" si="8"/>
      </c>
      <c r="Z19" s="333"/>
    </row>
    <row r="20" spans="2:26" ht="12.75">
      <c r="B20" s="89">
        <v>43075</v>
      </c>
      <c r="C20" s="85">
        <v>8983.206666666667</v>
      </c>
      <c r="D20" s="85">
        <v>10048.376666666665</v>
      </c>
      <c r="E20" s="85"/>
      <c r="F20" s="85">
        <v>6302.52</v>
      </c>
      <c r="G20" s="85">
        <v>6661.545</v>
      </c>
      <c r="H20" s="85">
        <v>6283.42</v>
      </c>
      <c r="I20" s="85">
        <v>2941.18</v>
      </c>
      <c r="J20" s="85">
        <v>5885.143333333333</v>
      </c>
      <c r="K20" s="85"/>
      <c r="L20" s="85">
        <v>7307.7175</v>
      </c>
      <c r="Q20" s="333">
        <f t="shared" si="0"/>
        <v>0.2292766745111134</v>
      </c>
      <c r="R20" s="333">
        <f t="shared" si="1"/>
        <v>0.3750362772872194</v>
      </c>
      <c r="S20" s="333">
        <f t="shared" si="2"/>
      </c>
      <c r="T20" s="333">
        <f t="shared" si="3"/>
        <v>-0.13755286790985002</v>
      </c>
      <c r="U20" s="333">
        <f t="shared" si="4"/>
        <v>-0.08842330043546424</v>
      </c>
      <c r="V20" s="333">
        <f t="shared" si="5"/>
        <v>-0.14016654311007504</v>
      </c>
      <c r="W20" s="333">
        <f t="shared" si="6"/>
        <v>-0.5975241243247293</v>
      </c>
      <c r="X20" s="333">
        <f t="shared" si="7"/>
        <v>-0.19466737276949558</v>
      </c>
      <c r="Y20" s="333">
        <f t="shared" si="8"/>
      </c>
      <c r="Z20" s="333"/>
    </row>
    <row r="21" spans="2:26" ht="12.75">
      <c r="B21" s="89">
        <v>43076</v>
      </c>
      <c r="C21" s="85">
        <v>6712.030000000001</v>
      </c>
      <c r="D21" s="85">
        <v>9033.61</v>
      </c>
      <c r="E21" s="85">
        <v>8403.36</v>
      </c>
      <c r="F21" s="85"/>
      <c r="G21" s="85">
        <v>7074.865</v>
      </c>
      <c r="H21" s="85">
        <v>6289.94</v>
      </c>
      <c r="I21" s="85"/>
      <c r="J21" s="85">
        <v>7008.330000000001</v>
      </c>
      <c r="K21" s="85"/>
      <c r="L21" s="85">
        <v>7191.057692307692</v>
      </c>
      <c r="Q21" s="333">
        <f t="shared" si="0"/>
        <v>-0.06661435811036669</v>
      </c>
      <c r="R21" s="333">
        <f t="shared" si="1"/>
        <v>0.25622827496757467</v>
      </c>
      <c r="S21" s="333">
        <f t="shared" si="2"/>
        <v>0.16858470054956082</v>
      </c>
      <c r="T21" s="333">
        <f t="shared" si="3"/>
      </c>
      <c r="U21" s="333">
        <f t="shared" si="4"/>
        <v>-0.016157941888296133</v>
      </c>
      <c r="V21" s="333">
        <f t="shared" si="5"/>
        <v>-0.1253108695361494</v>
      </c>
      <c r="W21" s="333">
        <f t="shared" si="6"/>
      </c>
      <c r="X21" s="333">
        <f t="shared" si="7"/>
        <v>-0.02541040555176691</v>
      </c>
      <c r="Y21" s="333">
        <f t="shared" si="8"/>
      </c>
      <c r="Z21" s="333"/>
    </row>
    <row r="22" spans="2:26" ht="12.75">
      <c r="B22" s="89">
        <v>43080</v>
      </c>
      <c r="C22" s="85">
        <v>8176.335000000001</v>
      </c>
      <c r="D22" s="85"/>
      <c r="E22" s="85">
        <v>8403.36</v>
      </c>
      <c r="F22" s="85"/>
      <c r="G22" s="85">
        <v>6820.4800000000005</v>
      </c>
      <c r="H22" s="85">
        <v>7928.39</v>
      </c>
      <c r="I22" s="85"/>
      <c r="J22" s="85">
        <v>7064.956666666668</v>
      </c>
      <c r="K22" s="85"/>
      <c r="L22" s="85">
        <v>7378.291818181819</v>
      </c>
      <c r="Q22" s="333">
        <f t="shared" si="0"/>
        <v>0.10816096753609274</v>
      </c>
      <c r="R22" s="333">
        <f t="shared" si="1"/>
      </c>
      <c r="S22" s="333">
        <f t="shared" si="2"/>
        <v>0.13893028455342155</v>
      </c>
      <c r="T22" s="333">
        <f t="shared" si="3"/>
      </c>
      <c r="U22" s="333">
        <f t="shared" si="4"/>
        <v>-0.07560175606056144</v>
      </c>
      <c r="V22" s="333">
        <f t="shared" si="5"/>
        <v>0.07455630590031861</v>
      </c>
      <c r="W22" s="333">
        <f t="shared" si="6"/>
      </c>
      <c r="X22" s="333">
        <f t="shared" si="7"/>
        <v>-0.042467167094559805</v>
      </c>
      <c r="Y22" s="333">
        <f t="shared" si="8"/>
      </c>
      <c r="Z22" s="333"/>
    </row>
    <row r="23" spans="2:26" ht="12.75">
      <c r="B23" s="89">
        <v>43081</v>
      </c>
      <c r="C23" s="85">
        <v>7818.735000000001</v>
      </c>
      <c r="D23" s="85">
        <v>7126.24</v>
      </c>
      <c r="E23" s="85"/>
      <c r="F23" s="85"/>
      <c r="G23" s="85">
        <v>7528.194</v>
      </c>
      <c r="H23" s="85"/>
      <c r="I23" s="85">
        <v>7950.276666666666</v>
      </c>
      <c r="J23" s="85">
        <v>6780.016666666667</v>
      </c>
      <c r="K23" s="85"/>
      <c r="L23" s="85">
        <v>7514.564375000001</v>
      </c>
      <c r="Q23" s="333">
        <f t="shared" si="0"/>
        <v>0.04047747944138142</v>
      </c>
      <c r="R23" s="333">
        <f t="shared" si="1"/>
        <v>-0.05167623239637241</v>
      </c>
      <c r="S23" s="333">
        <f t="shared" si="2"/>
      </c>
      <c r="T23" s="333">
        <f t="shared" si="3"/>
      </c>
      <c r="U23" s="333">
        <f t="shared" si="4"/>
        <v>0.0018137611603067246</v>
      </c>
      <c r="V23" s="333">
        <f t="shared" si="5"/>
      </c>
      <c r="W23" s="333">
        <f t="shared" si="6"/>
        <v>0.05798237528129032</v>
      </c>
      <c r="X23" s="333">
        <f t="shared" si="7"/>
        <v>-0.0977498723381864</v>
      </c>
      <c r="Y23" s="333">
        <f t="shared" si="8"/>
      </c>
      <c r="Z23" s="333"/>
    </row>
    <row r="24" spans="2:26" ht="12.75">
      <c r="B24" s="89">
        <v>43082</v>
      </c>
      <c r="C24" s="85">
        <v>9566.456666666667</v>
      </c>
      <c r="D24" s="85"/>
      <c r="E24" s="85"/>
      <c r="F24" s="85"/>
      <c r="G24" s="85">
        <v>7073.07</v>
      </c>
      <c r="H24" s="85">
        <v>7970.76</v>
      </c>
      <c r="I24" s="85">
        <v>7128.69</v>
      </c>
      <c r="J24" s="85">
        <v>6926.626666666666</v>
      </c>
      <c r="K24" s="85"/>
      <c r="L24" s="85">
        <v>7688.003846153848</v>
      </c>
      <c r="Q24" s="333">
        <f t="shared" si="0"/>
        <v>0.2443355724194351</v>
      </c>
      <c r="R24" s="333">
        <f t="shared" si="1"/>
      </c>
      <c r="S24" s="333">
        <f t="shared" si="2"/>
      </c>
      <c r="T24" s="333">
        <f t="shared" si="3"/>
      </c>
      <c r="U24" s="333">
        <f t="shared" si="4"/>
        <v>-0.07998615225218535</v>
      </c>
      <c r="V24" s="333">
        <f t="shared" si="5"/>
        <v>0.036778877782118885</v>
      </c>
      <c r="W24" s="333">
        <f t="shared" si="6"/>
        <v>-0.07275150446674941</v>
      </c>
      <c r="X24" s="333">
        <f t="shared" si="7"/>
        <v>-0.09903444310425044</v>
      </c>
      <c r="Y24" s="333">
        <f t="shared" si="8"/>
      </c>
      <c r="Z24" s="333"/>
    </row>
    <row r="25" spans="2:26" ht="12.75">
      <c r="B25" s="89">
        <v>43083</v>
      </c>
      <c r="C25" s="85">
        <v>8682.382</v>
      </c>
      <c r="D25" s="85"/>
      <c r="E25" s="85"/>
      <c r="F25" s="85"/>
      <c r="G25" s="85">
        <v>7336.134</v>
      </c>
      <c r="H25" s="85">
        <v>6273.65</v>
      </c>
      <c r="I25" s="85">
        <v>5982.6900000000005</v>
      </c>
      <c r="J25" s="85">
        <v>6379.743333333333</v>
      </c>
      <c r="K25" s="85"/>
      <c r="L25" s="85">
        <v>7341.927499999999</v>
      </c>
      <c r="Q25" s="333">
        <f t="shared" si="0"/>
        <v>0.18257528421521474</v>
      </c>
      <c r="R25" s="333">
        <f t="shared" si="1"/>
      </c>
      <c r="S25" s="333">
        <f t="shared" si="2"/>
      </c>
      <c r="T25" s="333">
        <f t="shared" si="3"/>
      </c>
      <c r="U25" s="333">
        <f t="shared" si="4"/>
        <v>-0.0007890979582676155</v>
      </c>
      <c r="V25" s="333">
        <f t="shared" si="5"/>
        <v>-0.14550368414833834</v>
      </c>
      <c r="W25" s="333">
        <f t="shared" si="6"/>
        <v>-0.1851336042204174</v>
      </c>
      <c r="X25" s="333">
        <f t="shared" si="7"/>
        <v>-0.13105334623185344</v>
      </c>
      <c r="Y25" s="333">
        <f t="shared" si="8"/>
      </c>
      <c r="Z25" s="333"/>
    </row>
    <row r="26" spans="2:26" ht="12.75">
      <c r="B26" s="89">
        <v>43084</v>
      </c>
      <c r="C26" s="85">
        <v>7698.3550000000005</v>
      </c>
      <c r="D26" s="85">
        <v>13125.25</v>
      </c>
      <c r="E26" s="85"/>
      <c r="F26" s="85"/>
      <c r="G26" s="85">
        <v>7142.496666666666</v>
      </c>
      <c r="H26" s="85"/>
      <c r="I26" s="85">
        <v>7446.925</v>
      </c>
      <c r="J26" s="85">
        <v>6093.646666666667</v>
      </c>
      <c r="K26" s="85"/>
      <c r="L26" s="85">
        <v>7594.510666666668</v>
      </c>
      <c r="Q26" s="333">
        <f t="shared" si="0"/>
        <v>0.013673604250649002</v>
      </c>
      <c r="R26" s="333">
        <f t="shared" si="1"/>
        <v>0.7282548640834088</v>
      </c>
      <c r="S26" s="333">
        <f t="shared" si="2"/>
      </c>
      <c r="T26" s="333">
        <f t="shared" si="3"/>
      </c>
      <c r="U26" s="333">
        <f t="shared" si="4"/>
        <v>-0.05951851539085361</v>
      </c>
      <c r="V26" s="333">
        <f t="shared" si="5"/>
      </c>
      <c r="W26" s="333">
        <f t="shared" si="6"/>
        <v>-0.019433202894090486</v>
      </c>
      <c r="X26" s="333">
        <f t="shared" si="7"/>
        <v>-0.197624845875521</v>
      </c>
      <c r="Y26" s="333">
        <f t="shared" si="8"/>
      </c>
      <c r="Z26" s="333"/>
    </row>
    <row r="27" spans="2:26" ht="12.75">
      <c r="B27" s="89">
        <v>43087</v>
      </c>
      <c r="C27" s="85">
        <v>7819.79</v>
      </c>
      <c r="D27" s="85">
        <v>7948.18</v>
      </c>
      <c r="E27" s="85"/>
      <c r="F27" s="85"/>
      <c r="G27" s="85">
        <v>7528.848</v>
      </c>
      <c r="H27" s="85"/>
      <c r="I27" s="85"/>
      <c r="J27" s="85">
        <v>6491.203333333334</v>
      </c>
      <c r="K27" s="85"/>
      <c r="L27" s="85">
        <v>7288.582</v>
      </c>
      <c r="Q27" s="333">
        <f t="shared" si="0"/>
        <v>0.07288221494935498</v>
      </c>
      <c r="R27" s="333">
        <f t="shared" si="1"/>
        <v>0.09049743832202202</v>
      </c>
      <c r="S27" s="333">
        <f t="shared" si="2"/>
      </c>
      <c r="T27" s="333">
        <f t="shared" si="3"/>
      </c>
      <c r="U27" s="333">
        <f t="shared" si="4"/>
        <v>0.032964711105671805</v>
      </c>
      <c r="V27" s="333">
        <f t="shared" si="5"/>
      </c>
      <c r="W27" s="333">
        <f t="shared" si="6"/>
      </c>
      <c r="X27" s="333">
        <f t="shared" si="7"/>
        <v>-0.1094010695999121</v>
      </c>
      <c r="Y27" s="333">
        <f t="shared" si="8"/>
      </c>
      <c r="Z27" s="333"/>
    </row>
    <row r="28" spans="2:26" ht="12.75">
      <c r="B28" s="89">
        <v>43088</v>
      </c>
      <c r="C28" s="85">
        <v>7288.280000000001</v>
      </c>
      <c r="D28" s="85"/>
      <c r="E28" s="85">
        <v>8403.36</v>
      </c>
      <c r="F28" s="85"/>
      <c r="G28" s="85">
        <v>6975.115</v>
      </c>
      <c r="H28" s="85">
        <v>6281.25</v>
      </c>
      <c r="I28" s="85"/>
      <c r="J28" s="85">
        <v>5957.326666666668</v>
      </c>
      <c r="K28" s="85"/>
      <c r="L28" s="85">
        <v>6921.317857142858</v>
      </c>
      <c r="Q28" s="333">
        <f t="shared" si="0"/>
        <v>0.05301911434083824</v>
      </c>
      <c r="R28" s="333">
        <f t="shared" si="1"/>
      </c>
      <c r="S28" s="333">
        <f t="shared" si="2"/>
        <v>0.21412716096077897</v>
      </c>
      <c r="T28" s="333">
        <f t="shared" si="3"/>
      </c>
      <c r="U28" s="333">
        <f t="shared" si="4"/>
        <v>0.007772673350295956</v>
      </c>
      <c r="V28" s="333">
        <f t="shared" si="5"/>
        <v>-0.09247774345203676</v>
      </c>
      <c r="W28" s="333">
        <f t="shared" si="6"/>
      </c>
      <c r="X28" s="333">
        <f t="shared" si="7"/>
        <v>-0.13927856087137266</v>
      </c>
      <c r="Y28" s="333">
        <f t="shared" si="8"/>
      </c>
      <c r="Z28" s="333"/>
    </row>
    <row r="29" spans="2:26" ht="12.75">
      <c r="B29" s="89">
        <v>43089</v>
      </c>
      <c r="C29" s="85">
        <v>7767.375</v>
      </c>
      <c r="D29" s="85">
        <v>8106.77</v>
      </c>
      <c r="E29" s="85">
        <v>8403.36</v>
      </c>
      <c r="F29" s="85"/>
      <c r="G29" s="85">
        <v>7799.63</v>
      </c>
      <c r="H29" s="85"/>
      <c r="I29" s="85">
        <v>5385.79</v>
      </c>
      <c r="J29" s="85">
        <v>6051.776666666668</v>
      </c>
      <c r="K29" s="85"/>
      <c r="L29" s="85">
        <v>7308.519285714285</v>
      </c>
      <c r="Q29" s="333">
        <f t="shared" si="0"/>
        <v>0.06278367701411489</v>
      </c>
      <c r="R29" s="333">
        <f t="shared" si="1"/>
        <v>0.10922194812375051</v>
      </c>
      <c r="S29" s="333">
        <f t="shared" si="2"/>
        <v>0.14980335571197903</v>
      </c>
      <c r="T29" s="333">
        <f t="shared" si="3"/>
      </c>
      <c r="U29" s="333">
        <f t="shared" si="4"/>
        <v>0.06719701968163003</v>
      </c>
      <c r="V29" s="333">
        <f t="shared" si="5"/>
      </c>
      <c r="W29" s="333">
        <f t="shared" si="6"/>
        <v>-0.263080551688846</v>
      </c>
      <c r="X29" s="333">
        <f t="shared" si="7"/>
        <v>-0.17195584630995356</v>
      </c>
      <c r="Y29" s="333">
        <f t="shared" si="8"/>
      </c>
      <c r="Z29" s="333"/>
    </row>
    <row r="30" spans="2:26" ht="12.75">
      <c r="B30" s="89">
        <v>43090</v>
      </c>
      <c r="C30" s="85">
        <v>8689.086</v>
      </c>
      <c r="D30" s="85">
        <v>10451.685</v>
      </c>
      <c r="E30" s="85">
        <v>8403.36</v>
      </c>
      <c r="F30" s="85"/>
      <c r="G30" s="85">
        <v>7375.68</v>
      </c>
      <c r="H30" s="85"/>
      <c r="I30" s="85">
        <v>6722.69</v>
      </c>
      <c r="J30" s="85">
        <v>6197.3</v>
      </c>
      <c r="K30" s="85"/>
      <c r="L30" s="85">
        <v>8012.919333333334</v>
      </c>
      <c r="Q30" s="333">
        <f t="shared" si="0"/>
        <v>0.08438455930210684</v>
      </c>
      <c r="R30" s="333">
        <f t="shared" si="1"/>
        <v>0.30435420166050153</v>
      </c>
      <c r="S30" s="333">
        <f t="shared" si="2"/>
        <v>0.048726394267124745</v>
      </c>
      <c r="T30" s="333">
        <f t="shared" si="3"/>
      </c>
      <c r="U30" s="333">
        <f t="shared" si="4"/>
        <v>-0.07952648801572866</v>
      </c>
      <c r="V30" s="333">
        <f t="shared" si="5"/>
      </c>
      <c r="W30" s="333">
        <f t="shared" si="6"/>
        <v>-0.16101863498937855</v>
      </c>
      <c r="X30" s="333">
        <f t="shared" si="7"/>
        <v>-0.22658649835403316</v>
      </c>
      <c r="Y30" s="333">
        <f t="shared" si="8"/>
      </c>
      <c r="Z30" s="333"/>
    </row>
    <row r="31" spans="2:26" ht="12.75">
      <c r="B31" s="89">
        <v>43091</v>
      </c>
      <c r="C31" s="85">
        <v>8562.12</v>
      </c>
      <c r="D31" s="85">
        <v>10530.425</v>
      </c>
      <c r="E31" s="85">
        <v>8403.36</v>
      </c>
      <c r="F31" s="85"/>
      <c r="G31" s="85">
        <v>7378.465</v>
      </c>
      <c r="H31" s="85"/>
      <c r="I31" s="85"/>
      <c r="J31" s="85">
        <v>6532.303333333333</v>
      </c>
      <c r="K31" s="85"/>
      <c r="L31" s="85">
        <v>8039.146111111111</v>
      </c>
      <c r="Q31" s="333">
        <f t="shared" si="0"/>
        <v>0.06505341259640422</v>
      </c>
      <c r="R31" s="333">
        <f t="shared" si="1"/>
        <v>0.30989347058210914</v>
      </c>
      <c r="S31" s="333">
        <f t="shared" si="2"/>
        <v>0.04530504656278109</v>
      </c>
      <c r="T31" s="333">
        <f t="shared" si="3"/>
      </c>
      <c r="U31" s="333">
        <f t="shared" si="4"/>
        <v>-0.08218299580324416</v>
      </c>
      <c r="V31" s="333">
        <f t="shared" si="5"/>
      </c>
      <c r="W31" s="333">
        <f t="shared" si="6"/>
      </c>
      <c r="X31" s="333">
        <f t="shared" si="7"/>
        <v>-0.1874381628286531</v>
      </c>
      <c r="Y31" s="333">
        <f t="shared" si="8"/>
      </c>
      <c r="Z31" s="333"/>
    </row>
    <row r="32" spans="2:26" ht="12.75">
      <c r="B32" s="89">
        <v>43095</v>
      </c>
      <c r="C32" s="85">
        <v>7117.245999999999</v>
      </c>
      <c r="D32" s="85">
        <v>9203.32</v>
      </c>
      <c r="E32" s="85">
        <v>8403.36</v>
      </c>
      <c r="F32" s="85"/>
      <c r="G32" s="85">
        <v>7753.415000000001</v>
      </c>
      <c r="H32" s="85"/>
      <c r="I32" s="85">
        <v>6279.18</v>
      </c>
      <c r="J32" s="85">
        <v>6346.266666666666</v>
      </c>
      <c r="K32" s="85"/>
      <c r="L32" s="85">
        <v>7372.931428571428</v>
      </c>
      <c r="Q32" s="333">
        <f t="shared" si="0"/>
        <v>-0.03467893754994142</v>
      </c>
      <c r="R32" s="333">
        <f t="shared" si="1"/>
        <v>0.2482579133091471</v>
      </c>
      <c r="S32" s="333">
        <f t="shared" si="2"/>
        <v>0.13975832834081128</v>
      </c>
      <c r="T32" s="333">
        <f t="shared" si="3"/>
      </c>
      <c r="U32" s="333">
        <f t="shared" si="4"/>
        <v>0.0516054672574508</v>
      </c>
      <c r="V32" s="333">
        <f t="shared" si="5"/>
      </c>
      <c r="W32" s="333">
        <f t="shared" si="6"/>
        <v>-0.1483468874175264</v>
      </c>
      <c r="X32" s="333">
        <f t="shared" si="7"/>
        <v>-0.1392478381022577</v>
      </c>
      <c r="Y32" s="333">
        <f t="shared" si="8"/>
      </c>
      <c r="Z32" s="333"/>
    </row>
    <row r="33" spans="2:26" ht="12.75">
      <c r="B33" s="89">
        <v>43096</v>
      </c>
      <c r="C33" s="85">
        <v>8354.63</v>
      </c>
      <c r="D33" s="85">
        <v>7442.21</v>
      </c>
      <c r="E33" s="85"/>
      <c r="F33" s="85"/>
      <c r="G33" s="85">
        <v>7546.830000000001</v>
      </c>
      <c r="H33" s="85">
        <v>7068.71</v>
      </c>
      <c r="I33" s="85"/>
      <c r="J33" s="85">
        <v>6406.2925</v>
      </c>
      <c r="K33" s="85"/>
      <c r="L33" s="85">
        <v>7320.0391666666665</v>
      </c>
      <c r="Q33" s="333">
        <f t="shared" si="0"/>
        <v>0.14133678929541238</v>
      </c>
      <c r="R33" s="333">
        <f t="shared" si="1"/>
        <v>0.016689915252047296</v>
      </c>
      <c r="S33" s="333">
        <f t="shared" si="2"/>
      </c>
      <c r="T33" s="333">
        <f t="shared" si="3"/>
      </c>
      <c r="U33" s="333">
        <f t="shared" si="4"/>
        <v>0.030982188506049804</v>
      </c>
      <c r="V33" s="333">
        <f t="shared" si="5"/>
        <v>-0.03433440189926121</v>
      </c>
      <c r="W33" s="333">
        <f t="shared" si="6"/>
      </c>
      <c r="X33" s="333">
        <f t="shared" si="7"/>
        <v>-0.12482811168929314</v>
      </c>
      <c r="Y33" s="333">
        <f t="shared" si="8"/>
      </c>
      <c r="Z33" s="333"/>
    </row>
    <row r="34" spans="2:26" ht="14.25" customHeight="1">
      <c r="B34" s="89">
        <v>43097</v>
      </c>
      <c r="C34" s="85">
        <v>8447.832</v>
      </c>
      <c r="D34" s="85">
        <v>9445.880000000001</v>
      </c>
      <c r="E34" s="85">
        <v>10084.03</v>
      </c>
      <c r="F34" s="85"/>
      <c r="G34" s="85">
        <v>7068.555</v>
      </c>
      <c r="H34" s="85"/>
      <c r="I34" s="85"/>
      <c r="J34" s="85">
        <v>6455.202499999999</v>
      </c>
      <c r="K34" s="85"/>
      <c r="L34" s="85">
        <v>7831.873750000002</v>
      </c>
      <c r="Q34" s="333">
        <f t="shared" si="0"/>
        <v>0.07864762247986935</v>
      </c>
      <c r="R34" s="333">
        <f t="shared" si="1"/>
        <v>0.20608175023250333</v>
      </c>
      <c r="S34" s="333">
        <f t="shared" si="2"/>
        <v>0.2875628900427562</v>
      </c>
      <c r="T34" s="333">
        <f t="shared" si="3"/>
      </c>
      <c r="U34" s="333">
        <f t="shared" si="4"/>
        <v>-0.09746310708851776</v>
      </c>
      <c r="V34" s="333">
        <f t="shared" si="5"/>
      </c>
      <c r="W34" s="333">
        <f t="shared" si="6"/>
      </c>
      <c r="X34" s="333">
        <f t="shared" si="7"/>
        <v>-0.17577801863826034</v>
      </c>
      <c r="Y34" s="333">
        <f t="shared" si="8"/>
      </c>
      <c r="Z34" s="333"/>
    </row>
    <row r="35" spans="2:26" ht="12.75">
      <c r="B35" s="83">
        <v>43098</v>
      </c>
      <c r="C35" s="138">
        <v>7353.714</v>
      </c>
      <c r="D35" s="138"/>
      <c r="E35" s="138">
        <v>9641.75</v>
      </c>
      <c r="F35" s="138"/>
      <c r="G35" s="138">
        <v>6959.183999999999</v>
      </c>
      <c r="H35" s="138">
        <v>6692.44</v>
      </c>
      <c r="I35" s="138"/>
      <c r="J35" s="138">
        <v>6079.75</v>
      </c>
      <c r="K35" s="138"/>
      <c r="L35" s="138">
        <v>7075.862</v>
      </c>
      <c r="M35" s="211"/>
      <c r="Q35" s="333">
        <f t="shared" si="0"/>
        <v>0.039267583228728864</v>
      </c>
      <c r="R35" s="333">
        <f t="shared" si="1"/>
      </c>
      <c r="S35" s="333">
        <f t="shared" si="2"/>
        <v>0.36262550061038495</v>
      </c>
      <c r="T35" s="333">
        <f t="shared" si="3"/>
      </c>
      <c r="U35" s="333">
        <f t="shared" si="4"/>
        <v>-0.016489581057403436</v>
      </c>
      <c r="V35" s="333">
        <f t="shared" si="5"/>
        <v>-0.05418732021625075</v>
      </c>
      <c r="W35" s="333">
        <f t="shared" si="6"/>
      </c>
      <c r="X35" s="333">
        <f t="shared" si="7"/>
        <v>-0.14077606375025403</v>
      </c>
      <c r="Y35" s="333">
        <f t="shared" si="8"/>
      </c>
      <c r="Z35" s="333"/>
    </row>
    <row r="36" spans="2:15" ht="69" customHeight="1">
      <c r="B36" s="354" t="s">
        <v>251</v>
      </c>
      <c r="C36" s="354"/>
      <c r="D36" s="354"/>
      <c r="E36" s="354"/>
      <c r="F36" s="354"/>
      <c r="G36" s="354"/>
      <c r="H36" s="354"/>
      <c r="I36" s="354"/>
      <c r="J36" s="354"/>
      <c r="K36" s="355"/>
      <c r="L36" s="354"/>
      <c r="M36" s="356"/>
      <c r="N36" s="229"/>
      <c r="O36" s="230"/>
    </row>
    <row r="37" spans="16:26" ht="12.75">
      <c r="P37" s="334" t="s">
        <v>212</v>
      </c>
      <c r="Q37" s="314">
        <f>+AVERAGE(C17:C35)</f>
        <v>7822.68685185185</v>
      </c>
      <c r="R37" s="314">
        <f aca="true" t="shared" si="9" ref="R37:Z37">+AVERAGE(D17:D35)</f>
        <v>9396.040833333333</v>
      </c>
      <c r="S37" s="314">
        <f t="shared" si="9"/>
        <v>8681.629166666668</v>
      </c>
      <c r="T37" s="314">
        <f t="shared" si="9"/>
        <v>5882.35</v>
      </c>
      <c r="U37" s="314">
        <f t="shared" si="9"/>
        <v>7113.459129072683</v>
      </c>
      <c r="V37" s="314">
        <f t="shared" si="9"/>
        <v>6848.570000000001</v>
      </c>
      <c r="W37" s="314">
        <f t="shared" si="9"/>
        <v>5840.755000000001</v>
      </c>
      <c r="X37" s="314">
        <f t="shared" si="9"/>
        <v>6281.883377192983</v>
      </c>
      <c r="Y37" s="314" t="e">
        <f t="shared" si="9"/>
        <v>#DIV/0!</v>
      </c>
      <c r="Z37" s="314">
        <f t="shared" si="9"/>
        <v>7276.753708596229</v>
      </c>
    </row>
    <row r="38" spans="17:25" ht="12.75">
      <c r="Q38" s="335">
        <f>+(Q37-$Z$37)/$Z$37</f>
        <v>0.0750242711403981</v>
      </c>
      <c r="R38" s="335">
        <f>+(R37-$Z$37)/$Z$37</f>
        <v>0.29124073860484395</v>
      </c>
      <c r="S38" s="335">
        <f aca="true" t="shared" si="10" ref="S38:Y38">+(S37-$Z$37)/$Z$37</f>
        <v>0.1930634887931991</v>
      </c>
      <c r="T38" s="335">
        <f t="shared" si="10"/>
        <v>-0.19162441995927135</v>
      </c>
      <c r="U38" s="335">
        <f t="shared" si="10"/>
        <v>-0.02244058079506553</v>
      </c>
      <c r="V38" s="335">
        <f t="shared" si="10"/>
        <v>-0.05884268256742064</v>
      </c>
      <c r="W38" s="335">
        <f t="shared" si="10"/>
        <v>-0.19734056780015016</v>
      </c>
      <c r="X38" s="335">
        <f t="shared" si="10"/>
        <v>-0.13671897816576897</v>
      </c>
      <c r="Y38" s="335" t="e">
        <f t="shared" si="10"/>
        <v>#DIV/0!</v>
      </c>
    </row>
    <row r="40" spans="16:25" ht="12.75">
      <c r="P40" s="334"/>
      <c r="Q40" s="336"/>
      <c r="R40" s="336"/>
      <c r="S40" s="336"/>
      <c r="T40" s="336"/>
      <c r="U40" s="336"/>
      <c r="V40" s="336"/>
      <c r="W40" s="336"/>
      <c r="X40" s="336"/>
      <c r="Y40" s="336"/>
    </row>
    <row r="41" spans="16:25" ht="12.75">
      <c r="P41" s="334"/>
      <c r="Q41" s="336"/>
      <c r="R41" s="336"/>
      <c r="S41" s="336"/>
      <c r="T41" s="336"/>
      <c r="U41" s="336"/>
      <c r="V41" s="336"/>
      <c r="W41" s="336"/>
      <c r="X41" s="336"/>
      <c r="Y41" s="336"/>
    </row>
  </sheetData>
  <sheetProtection/>
  <mergeCells count="4">
    <mergeCell ref="B36:M36"/>
    <mergeCell ref="B2:L2"/>
    <mergeCell ref="B3:L3"/>
    <mergeCell ref="B4:L4"/>
  </mergeCells>
  <conditionalFormatting sqref="Q38:Y38">
    <cfRule type="top10" priority="1" dxfId="42" rank="1" bottom="1"/>
    <cfRule type="top10" priority="2" dxfId="43" rank="1"/>
  </conditionalFormatting>
  <hyperlinks>
    <hyperlink ref="N2" location="Índice!A1" display="Volver al índice"/>
  </hyperlinks>
  <printOptions horizontalCentered="1"/>
  <pageMargins left="0.31496062992125984" right="0.31496062992125984" top="1.299212598425197" bottom="0.7480314960629921" header="0.31496062992125984" footer="0.31496062992125984"/>
  <pageSetup fitToHeight="1" fitToWidth="1" horizontalDpi="600" verticalDpi="600" orientation="landscape" paperSize="122" scale="61"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0" workbookViewId="0" topLeftCell="A1">
      <selection activeCell="A1" sqref="A1"/>
    </sheetView>
  </sheetViews>
  <sheetFormatPr defaultColWidth="10.8515625" defaultRowHeight="15"/>
  <cols>
    <col min="1" max="1" width="1.8515625" style="34" customWidth="1"/>
    <col min="2" max="2" width="12.28125" style="34" customWidth="1"/>
    <col min="3" max="3" width="10.421875" style="55" customWidth="1"/>
    <col min="4" max="4" width="12.421875" style="55" customWidth="1"/>
    <col min="5" max="5" width="10.00390625" style="55" customWidth="1"/>
    <col min="6" max="6" width="12.8515625" style="34" customWidth="1"/>
    <col min="7" max="7" width="15.7109375" style="34" customWidth="1"/>
    <col min="8" max="8" width="12.421875" style="34" customWidth="1"/>
    <col min="9" max="9" width="14.28125" style="34" customWidth="1"/>
    <col min="10" max="10" width="15.00390625" style="34" customWidth="1"/>
    <col min="11" max="11" width="12.421875" style="34" customWidth="1"/>
    <col min="12" max="12" width="14.140625" style="34" customWidth="1"/>
    <col min="13" max="13" width="12.28125" style="34" customWidth="1"/>
    <col min="14" max="14" width="1.8515625" style="34" customWidth="1"/>
    <col min="15" max="15" width="10.8515625" style="34" customWidth="1"/>
    <col min="16" max="16" width="10.8515625" style="139" customWidth="1"/>
    <col min="17" max="17" width="8.57421875" style="308" hidden="1" customWidth="1"/>
    <col min="18" max="18" width="8.421875" style="308" hidden="1" customWidth="1"/>
    <col min="19" max="19" width="10.28125" style="308" hidden="1" customWidth="1"/>
    <col min="20" max="20" width="9.28125" style="308" hidden="1" customWidth="1"/>
    <col min="21" max="21" width="11.421875" style="308" hidden="1" customWidth="1"/>
    <col min="22" max="22" width="10.28125" style="308" hidden="1" customWidth="1"/>
    <col min="23" max="24" width="7.421875" style="308" hidden="1" customWidth="1"/>
    <col min="25" max="25" width="12.421875" style="308" hidden="1" customWidth="1"/>
    <col min="26" max="26" width="9.421875" style="308" hidden="1" customWidth="1"/>
    <col min="27" max="28" width="10.8515625" style="308" hidden="1" customWidth="1"/>
    <col min="29" max="29" width="10.8515625" style="139" customWidth="1"/>
    <col min="30" max="16384" width="10.8515625" style="34" customWidth="1"/>
  </cols>
  <sheetData>
    <row r="1" ht="4.5" customHeight="1"/>
    <row r="2" spans="2:17" ht="12.75">
      <c r="B2" s="353" t="s">
        <v>109</v>
      </c>
      <c r="C2" s="353"/>
      <c r="D2" s="353"/>
      <c r="E2" s="353"/>
      <c r="F2" s="353"/>
      <c r="G2" s="353"/>
      <c r="H2" s="353"/>
      <c r="I2" s="353"/>
      <c r="J2" s="353"/>
      <c r="K2" s="353"/>
      <c r="L2" s="353"/>
      <c r="M2" s="353"/>
      <c r="N2" s="94"/>
      <c r="O2" s="44" t="s">
        <v>147</v>
      </c>
      <c r="P2" s="141"/>
      <c r="Q2" s="337"/>
    </row>
    <row r="3" spans="2:14" ht="12.75">
      <c r="B3" s="353" t="s">
        <v>136</v>
      </c>
      <c r="C3" s="353"/>
      <c r="D3" s="353"/>
      <c r="E3" s="353"/>
      <c r="F3" s="353"/>
      <c r="G3" s="353"/>
      <c r="H3" s="353"/>
      <c r="I3" s="353"/>
      <c r="J3" s="353"/>
      <c r="K3" s="353"/>
      <c r="L3" s="353"/>
      <c r="M3" s="353"/>
      <c r="N3" s="94"/>
    </row>
    <row r="4" spans="2:14" ht="12.75">
      <c r="B4" s="353" t="s">
        <v>269</v>
      </c>
      <c r="C4" s="353"/>
      <c r="D4" s="353"/>
      <c r="E4" s="353"/>
      <c r="F4" s="353"/>
      <c r="G4" s="353"/>
      <c r="H4" s="353"/>
      <c r="I4" s="353"/>
      <c r="J4" s="353"/>
      <c r="K4" s="353"/>
      <c r="L4" s="353"/>
      <c r="M4" s="353"/>
      <c r="N4" s="94"/>
    </row>
    <row r="5" spans="2:28" ht="39" customHeight="1">
      <c r="B5" s="30" t="s">
        <v>63</v>
      </c>
      <c r="C5" s="31" t="s">
        <v>164</v>
      </c>
      <c r="D5" s="31" t="s">
        <v>173</v>
      </c>
      <c r="E5" s="31" t="s">
        <v>165</v>
      </c>
      <c r="F5" s="31" t="s">
        <v>255</v>
      </c>
      <c r="G5" s="31" t="s">
        <v>256</v>
      </c>
      <c r="H5" s="31" t="s">
        <v>167</v>
      </c>
      <c r="I5" s="31" t="s">
        <v>168</v>
      </c>
      <c r="J5" s="31" t="s">
        <v>155</v>
      </c>
      <c r="K5" s="31" t="s">
        <v>169</v>
      </c>
      <c r="L5" s="31" t="s">
        <v>170</v>
      </c>
      <c r="M5" s="31" t="s">
        <v>68</v>
      </c>
      <c r="N5" s="109"/>
      <c r="R5" s="309" t="s">
        <v>157</v>
      </c>
      <c r="S5" s="309" t="s">
        <v>225</v>
      </c>
      <c r="T5" s="309" t="s">
        <v>226</v>
      </c>
      <c r="U5" s="309" t="s">
        <v>166</v>
      </c>
      <c r="V5" s="309" t="s">
        <v>227</v>
      </c>
      <c r="W5" s="309" t="s">
        <v>228</v>
      </c>
      <c r="X5" s="309" t="s">
        <v>229</v>
      </c>
      <c r="Y5" s="309" t="s">
        <v>230</v>
      </c>
      <c r="Z5" s="309" t="s">
        <v>232</v>
      </c>
      <c r="AA5" s="309" t="s">
        <v>231</v>
      </c>
      <c r="AB5" s="309" t="s">
        <v>265</v>
      </c>
    </row>
    <row r="6" spans="2:27" ht="12.75">
      <c r="B6" s="86">
        <v>43055</v>
      </c>
      <c r="C6" s="87">
        <v>10924.37</v>
      </c>
      <c r="D6" s="87">
        <v>8046.215</v>
      </c>
      <c r="E6" s="87">
        <v>5952.38</v>
      </c>
      <c r="F6" s="87">
        <v>5853.293333333334</v>
      </c>
      <c r="G6" s="87">
        <v>6732.17</v>
      </c>
      <c r="H6" s="87">
        <v>4761.906666666667</v>
      </c>
      <c r="I6" s="87">
        <v>5452.95</v>
      </c>
      <c r="J6" s="87"/>
      <c r="K6" s="87">
        <v>3151.26</v>
      </c>
      <c r="L6" s="87">
        <v>3151.26</v>
      </c>
      <c r="M6" s="87">
        <v>5706.726086956521</v>
      </c>
      <c r="N6" s="110"/>
      <c r="R6" s="315">
        <f aca="true" t="shared" si="0" ref="R6:AA6">+IF(C6=0,"",(C6-$M6)/$M6)</f>
        <v>0.9142972404035822</v>
      </c>
      <c r="S6" s="315">
        <f t="shared" si="0"/>
        <v>0.4099529007342216</v>
      </c>
      <c r="T6" s="315">
        <f t="shared" si="0"/>
        <v>0.04304638233907073</v>
      </c>
      <c r="U6" s="315">
        <f t="shared" si="0"/>
        <v>0.025683245374578632</v>
      </c>
      <c r="V6" s="315">
        <f t="shared" si="0"/>
        <v>0.17969040346745702</v>
      </c>
      <c r="W6" s="315">
        <f t="shared" si="0"/>
        <v>-0.16556242684388936</v>
      </c>
      <c r="X6" s="315">
        <f t="shared" si="0"/>
        <v>-0.044469645658402945</v>
      </c>
      <c r="Y6" s="315">
        <f t="shared" si="0"/>
      </c>
      <c r="Z6" s="315">
        <f t="shared" si="0"/>
        <v>-0.44779897405578606</v>
      </c>
      <c r="AA6" s="315">
        <f t="shared" si="0"/>
        <v>-0.44779897405578606</v>
      </c>
    </row>
    <row r="7" spans="2:27" ht="12.75">
      <c r="B7" s="86">
        <v>43056</v>
      </c>
      <c r="C7" s="87"/>
      <c r="D7" s="87">
        <v>8046.215</v>
      </c>
      <c r="E7" s="87">
        <v>6125.725</v>
      </c>
      <c r="F7" s="87">
        <v>5984.48</v>
      </c>
      <c r="G7" s="87">
        <v>6531.7</v>
      </c>
      <c r="H7" s="87">
        <v>4761.906666666667</v>
      </c>
      <c r="I7" s="87">
        <v>5684.63</v>
      </c>
      <c r="J7" s="87">
        <v>5781.17</v>
      </c>
      <c r="K7" s="87">
        <v>2941.18</v>
      </c>
      <c r="L7" s="87">
        <v>4866.945</v>
      </c>
      <c r="M7" s="87">
        <v>5723.403333333334</v>
      </c>
      <c r="N7" s="110"/>
      <c r="O7" s="204"/>
      <c r="R7" s="315">
        <f aca="true" t="shared" si="1" ref="R7:R35">+IF(C7=0,"",(C7-$M7)/$M7)</f>
      </c>
      <c r="S7" s="315">
        <f aca="true" t="shared" si="2" ref="S7:S35">+IF(D7=0,"",(D7-$M7)/$M7)</f>
        <v>0.4058444829737085</v>
      </c>
      <c r="T7" s="315">
        <f aca="true" t="shared" si="3" ref="T7:T35">+IF(E7=0,"",(E7-$M7)/$M7)</f>
        <v>0.07029413152197907</v>
      </c>
      <c r="U7" s="315">
        <f aca="true" t="shared" si="4" ref="U7:U35">+IF(F7=0,"",(F7-$M7)/$M7)</f>
        <v>0.04561563312271648</v>
      </c>
      <c r="V7" s="315">
        <f aca="true" t="shared" si="5" ref="V7:V35">+IF(G7=0,"",(G7-$M7)/$M7)</f>
        <v>0.1412265778927572</v>
      </c>
      <c r="W7" s="315">
        <f aca="true" t="shared" si="6" ref="W7:W35">+IF(H7=0,"",(H7-$M7)/$M7)</f>
        <v>-0.1679938684500656</v>
      </c>
      <c r="X7" s="315">
        <f aca="true" t="shared" si="7" ref="X7:X35">+IF(I7=0,"",(I7-$M7)/$M7)</f>
        <v>-0.006774524015722616</v>
      </c>
      <c r="Y7" s="315">
        <f aca="true" t="shared" si="8" ref="Y7:Y35">+IF(J7=0,"",(J7-$M7)/$M7)</f>
        <v>0.010093062344607275</v>
      </c>
      <c r="Z7" s="315">
        <f aca="true" t="shared" si="9" ref="Z7:Z35">+IF(K7=0,"",(K7-$M7)/$M7)</f>
        <v>-0.4861134488162929</v>
      </c>
      <c r="AA7" s="315">
        <f aca="true" t="shared" si="10" ref="AA7:AA35">+IF(L7=0,"",(L7-$M7)/$M7)</f>
        <v>-0.14964144294100082</v>
      </c>
    </row>
    <row r="8" spans="2:27" ht="12.75">
      <c r="B8" s="86">
        <v>43059</v>
      </c>
      <c r="C8" s="87">
        <v>10148.67</v>
      </c>
      <c r="D8" s="87">
        <v>7626.05</v>
      </c>
      <c r="E8" s="87">
        <v>5676.386666666668</v>
      </c>
      <c r="F8" s="87">
        <v>5976.6425</v>
      </c>
      <c r="G8" s="87"/>
      <c r="H8" s="87">
        <v>4761.906666666667</v>
      </c>
      <c r="I8" s="87">
        <v>5228.76</v>
      </c>
      <c r="J8" s="87"/>
      <c r="K8" s="87">
        <v>2941.18</v>
      </c>
      <c r="L8" s="87">
        <v>3361.34</v>
      </c>
      <c r="M8" s="87">
        <v>5759.593749999999</v>
      </c>
      <c r="N8" s="110"/>
      <c r="O8" s="204"/>
      <c r="R8" s="315">
        <f t="shared" si="1"/>
        <v>0.7620461512584984</v>
      </c>
      <c r="S8" s="315">
        <f t="shared" si="2"/>
        <v>0.324060399225206</v>
      </c>
      <c r="T8" s="315">
        <f t="shared" si="3"/>
        <v>-0.014446693108056618</v>
      </c>
      <c r="U8" s="315">
        <f t="shared" si="4"/>
        <v>0.03768473253864491</v>
      </c>
      <c r="V8" s="315">
        <f t="shared" si="5"/>
      </c>
      <c r="W8" s="315">
        <f t="shared" si="6"/>
        <v>-0.17322178032666496</v>
      </c>
      <c r="X8" s="315">
        <f t="shared" si="7"/>
        <v>-0.09216513751512403</v>
      </c>
      <c r="Y8" s="315">
        <f t="shared" si="8"/>
      </c>
      <c r="Z8" s="315">
        <f t="shared" si="9"/>
        <v>-0.4893424557938656</v>
      </c>
      <c r="AA8" s="315">
        <f t="shared" si="10"/>
        <v>-0.4163928662503322</v>
      </c>
    </row>
    <row r="9" spans="2:27" ht="12.75">
      <c r="B9" s="86">
        <v>43060</v>
      </c>
      <c r="C9" s="87"/>
      <c r="D9" s="87">
        <v>7563.025000000001</v>
      </c>
      <c r="E9" s="87">
        <v>5913.473333333332</v>
      </c>
      <c r="F9" s="87">
        <v>5647.223333333334</v>
      </c>
      <c r="G9" s="87">
        <v>6542.62</v>
      </c>
      <c r="H9" s="87">
        <v>4621.85</v>
      </c>
      <c r="I9" s="87">
        <v>5215.03</v>
      </c>
      <c r="J9" s="87">
        <v>5042.015</v>
      </c>
      <c r="K9" s="87">
        <v>2941.18</v>
      </c>
      <c r="L9" s="87">
        <v>8193.275</v>
      </c>
      <c r="M9" s="87">
        <v>5719.242857142857</v>
      </c>
      <c r="N9" s="110"/>
      <c r="O9" s="204"/>
      <c r="R9" s="315">
        <f t="shared" si="1"/>
      </c>
      <c r="S9" s="315">
        <f t="shared" si="2"/>
        <v>0.3223822084341834</v>
      </c>
      <c r="T9" s="315">
        <f t="shared" si="3"/>
        <v>0.03396087227663318</v>
      </c>
      <c r="U9" s="315">
        <f t="shared" si="4"/>
        <v>-0.012592492679267257</v>
      </c>
      <c r="V9" s="315">
        <f t="shared" si="5"/>
        <v>0.14396610940009538</v>
      </c>
      <c r="W9" s="315">
        <f t="shared" si="6"/>
        <v>-0.19187729644533363</v>
      </c>
      <c r="X9" s="315">
        <f t="shared" si="7"/>
        <v>-0.08816077053156393</v>
      </c>
      <c r="Y9" s="315">
        <f t="shared" si="8"/>
        <v>-0.11841215245774286</v>
      </c>
      <c r="Z9" s="315">
        <f t="shared" si="9"/>
        <v>-0.4857396208788876</v>
      </c>
      <c r="AA9" s="315">
        <f t="shared" si="10"/>
        <v>0.4325803615363671</v>
      </c>
    </row>
    <row r="10" spans="2:27" ht="12.75">
      <c r="B10" s="86">
        <v>43061</v>
      </c>
      <c r="C10" s="87">
        <v>11344.54</v>
      </c>
      <c r="D10" s="87">
        <v>7563.025000000001</v>
      </c>
      <c r="E10" s="87">
        <v>5815.240000000001</v>
      </c>
      <c r="F10" s="87">
        <v>5752.966</v>
      </c>
      <c r="G10" s="87"/>
      <c r="H10" s="87">
        <v>4481.793333333334</v>
      </c>
      <c r="I10" s="87">
        <v>5233</v>
      </c>
      <c r="J10" s="87"/>
      <c r="K10" s="87">
        <v>8007.905000000001</v>
      </c>
      <c r="L10" s="87"/>
      <c r="M10" s="87">
        <v>6316.195882352941</v>
      </c>
      <c r="N10" s="110"/>
      <c r="O10" s="204"/>
      <c r="R10" s="315">
        <f t="shared" si="1"/>
        <v>0.7961032576104773</v>
      </c>
      <c r="S10" s="315">
        <f t="shared" si="2"/>
        <v>0.19740190786840894</v>
      </c>
      <c r="T10" s="315">
        <f t="shared" si="3"/>
        <v>-0.07931291107557005</v>
      </c>
      <c r="U10" s="315">
        <f t="shared" si="4"/>
        <v>-0.08917232664151062</v>
      </c>
      <c r="V10" s="315">
        <f t="shared" si="5"/>
      </c>
      <c r="W10" s="315">
        <f t="shared" si="6"/>
        <v>-0.29042838176453867</v>
      </c>
      <c r="X10" s="315">
        <f t="shared" si="7"/>
        <v>-0.17149497934022648</v>
      </c>
      <c r="Y10" s="315">
        <f t="shared" si="8"/>
      </c>
      <c r="Z10" s="315">
        <f t="shared" si="9"/>
        <v>0.26783670886040595</v>
      </c>
      <c r="AA10" s="315">
        <f t="shared" si="10"/>
      </c>
    </row>
    <row r="11" spans="2:27" ht="12.75">
      <c r="B11" s="84">
        <v>43062</v>
      </c>
      <c r="C11" s="85">
        <v>12124.85</v>
      </c>
      <c r="D11" s="85">
        <v>7563.025000000001</v>
      </c>
      <c r="E11" s="85">
        <v>5675.953333333334</v>
      </c>
      <c r="F11" s="85">
        <v>5480.565</v>
      </c>
      <c r="G11" s="85">
        <v>6569.9</v>
      </c>
      <c r="H11" s="85">
        <v>5042.02</v>
      </c>
      <c r="I11" s="85">
        <v>5449.49</v>
      </c>
      <c r="J11" s="85"/>
      <c r="K11" s="85">
        <v>7703.080000000001</v>
      </c>
      <c r="L11" s="85">
        <v>3151.26</v>
      </c>
      <c r="M11" s="85">
        <v>6296.6775</v>
      </c>
      <c r="N11" s="110"/>
      <c r="O11" s="204"/>
      <c r="R11" s="315">
        <f t="shared" si="1"/>
        <v>0.9255948871448475</v>
      </c>
      <c r="S11" s="315">
        <f t="shared" si="2"/>
        <v>0.20111360316611432</v>
      </c>
      <c r="T11" s="315">
        <f t="shared" si="3"/>
        <v>-0.09857963452418612</v>
      </c>
      <c r="U11" s="315">
        <f t="shared" si="4"/>
        <v>-0.1296100205227281</v>
      </c>
      <c r="V11" s="315">
        <f t="shared" si="5"/>
        <v>0.04339153466252637</v>
      </c>
      <c r="W11" s="315">
        <f t="shared" si="6"/>
        <v>-0.19925706850954322</v>
      </c>
      <c r="X11" s="315">
        <f t="shared" si="7"/>
        <v>-0.13454516290535762</v>
      </c>
      <c r="Y11" s="315">
        <f t="shared" si="8"/>
      </c>
      <c r="Z11" s="315">
        <f t="shared" si="9"/>
        <v>0.22335628591427797</v>
      </c>
      <c r="AA11" s="315">
        <f t="shared" si="10"/>
        <v>-0.4995360648532499</v>
      </c>
    </row>
    <row r="12" spans="2:27" ht="12.75">
      <c r="B12" s="84">
        <v>43063</v>
      </c>
      <c r="C12" s="85"/>
      <c r="D12" s="85">
        <v>7563.025000000001</v>
      </c>
      <c r="E12" s="85">
        <v>5665.903333333333</v>
      </c>
      <c r="F12" s="85">
        <v>5823.4439999999995</v>
      </c>
      <c r="G12" s="85">
        <v>6482.59</v>
      </c>
      <c r="H12" s="85">
        <v>5042.02</v>
      </c>
      <c r="I12" s="85">
        <v>5266.11</v>
      </c>
      <c r="J12" s="85">
        <v>5147.055</v>
      </c>
      <c r="K12" s="85">
        <v>6512.6050000000005</v>
      </c>
      <c r="L12" s="85">
        <v>3151.26</v>
      </c>
      <c r="M12" s="85">
        <v>5805.682222222222</v>
      </c>
      <c r="N12" s="110"/>
      <c r="O12" s="204"/>
      <c r="R12" s="315">
        <f t="shared" si="1"/>
      </c>
      <c r="S12" s="315">
        <f t="shared" si="2"/>
        <v>0.3026935871638401</v>
      </c>
      <c r="T12" s="315">
        <f t="shared" si="3"/>
        <v>-0.02407622111211356</v>
      </c>
      <c r="U12" s="315">
        <f t="shared" si="4"/>
        <v>0.0030593782260061654</v>
      </c>
      <c r="V12" s="315">
        <f t="shared" si="5"/>
        <v>0.11659401115458928</v>
      </c>
      <c r="W12" s="315">
        <f t="shared" si="6"/>
        <v>-0.13153703440728742</v>
      </c>
      <c r="X12" s="315">
        <f t="shared" si="7"/>
        <v>-0.09293864210426794</v>
      </c>
      <c r="Y12" s="315">
        <f t="shared" si="8"/>
        <v>-0.11344527602651337</v>
      </c>
      <c r="Z12" s="315">
        <f t="shared" si="9"/>
        <v>0.12176394620289642</v>
      </c>
      <c r="AA12" s="315">
        <f t="shared" si="10"/>
        <v>-0.457211077117169</v>
      </c>
    </row>
    <row r="13" spans="2:27" ht="12.75">
      <c r="B13" s="84">
        <v>43066</v>
      </c>
      <c r="C13" s="85"/>
      <c r="D13" s="85">
        <v>8319.33</v>
      </c>
      <c r="E13" s="85">
        <v>5931.783333333333</v>
      </c>
      <c r="F13" s="85">
        <v>4500.8675</v>
      </c>
      <c r="G13" s="85"/>
      <c r="H13" s="85">
        <v>5252.1</v>
      </c>
      <c r="I13" s="85">
        <v>5182.07</v>
      </c>
      <c r="J13" s="85"/>
      <c r="K13" s="85">
        <v>6054.55</v>
      </c>
      <c r="L13" s="85">
        <v>3151.26</v>
      </c>
      <c r="M13" s="85">
        <v>5361.7699999999995</v>
      </c>
      <c r="N13" s="110"/>
      <c r="O13" s="204"/>
      <c r="R13" s="315">
        <f t="shared" si="1"/>
      </c>
      <c r="S13" s="315">
        <f t="shared" si="2"/>
        <v>0.5516014301247537</v>
      </c>
      <c r="T13" s="315">
        <f t="shared" si="3"/>
        <v>0.10631066482399158</v>
      </c>
      <c r="U13" s="315">
        <f t="shared" si="4"/>
        <v>-0.16056311628436118</v>
      </c>
      <c r="V13" s="315">
        <f t="shared" si="5"/>
      </c>
      <c r="W13" s="315">
        <f t="shared" si="6"/>
        <v>-0.020454066474317096</v>
      </c>
      <c r="X13" s="315">
        <f t="shared" si="7"/>
        <v>-0.03351505193247749</v>
      </c>
      <c r="Y13" s="315">
        <f t="shared" si="8"/>
      </c>
      <c r="Z13" s="315">
        <f t="shared" si="9"/>
        <v>0.1292073326532098</v>
      </c>
      <c r="AA13" s="315">
        <f t="shared" si="10"/>
        <v>-0.4122724398845903</v>
      </c>
    </row>
    <row r="14" spans="2:27" ht="12.75">
      <c r="B14" s="84">
        <v>43067</v>
      </c>
      <c r="C14" s="85">
        <v>11344.54</v>
      </c>
      <c r="D14" s="85">
        <v>8319.33</v>
      </c>
      <c r="E14" s="85">
        <v>5976.89</v>
      </c>
      <c r="F14" s="85">
        <v>5300.36</v>
      </c>
      <c r="G14" s="85"/>
      <c r="H14" s="85">
        <v>5042.02</v>
      </c>
      <c r="I14" s="85">
        <v>5182.07</v>
      </c>
      <c r="J14" s="85">
        <v>4399.87</v>
      </c>
      <c r="K14" s="85">
        <v>3151.26</v>
      </c>
      <c r="L14" s="85">
        <v>6512.6050000000005</v>
      </c>
      <c r="M14" s="85">
        <v>5838.956470588235</v>
      </c>
      <c r="N14" s="110"/>
      <c r="O14" s="204"/>
      <c r="R14" s="315">
        <f t="shared" si="1"/>
        <v>0.9429053902258525</v>
      </c>
      <c r="S14" s="315">
        <f t="shared" si="2"/>
        <v>0.42479740034127783</v>
      </c>
      <c r="T14" s="315">
        <f t="shared" si="3"/>
        <v>0.023622976144206397</v>
      </c>
      <c r="U14" s="315">
        <f t="shared" si="4"/>
        <v>-0.09224190543314245</v>
      </c>
      <c r="V14" s="315">
        <f t="shared" si="5"/>
      </c>
      <c r="W14" s="315">
        <f t="shared" si="6"/>
        <v>-0.13648611264744512</v>
      </c>
      <c r="X14" s="315">
        <f t="shared" si="7"/>
        <v>-0.11250066238669157</v>
      </c>
      <c r="Y14" s="315">
        <f t="shared" si="8"/>
        <v>-0.2464629558101941</v>
      </c>
      <c r="Z14" s="315">
        <f t="shared" si="9"/>
        <v>-0.46030424856335117</v>
      </c>
      <c r="AA14" s="315">
        <f t="shared" si="10"/>
        <v>0.11537139089922006</v>
      </c>
    </row>
    <row r="15" spans="2:27" ht="12.75">
      <c r="B15" s="84">
        <v>43068</v>
      </c>
      <c r="C15" s="85">
        <v>12607.195</v>
      </c>
      <c r="D15" s="85">
        <v>8613.45</v>
      </c>
      <c r="E15" s="85">
        <v>5826.329999999999</v>
      </c>
      <c r="F15" s="85">
        <v>5222.84</v>
      </c>
      <c r="G15" s="85">
        <v>6259.06</v>
      </c>
      <c r="H15" s="85">
        <v>5042.02</v>
      </c>
      <c r="I15" s="85">
        <v>5672.27</v>
      </c>
      <c r="J15" s="85"/>
      <c r="K15" s="85"/>
      <c r="L15" s="85">
        <v>9243.7</v>
      </c>
      <c r="M15" s="85">
        <v>6897.150666666667</v>
      </c>
      <c r="N15" s="110"/>
      <c r="O15" s="204"/>
      <c r="R15" s="315">
        <f t="shared" si="1"/>
        <v>0.8278845293215766</v>
      </c>
      <c r="S15" s="315">
        <f t="shared" si="2"/>
        <v>0.24884179225314876</v>
      </c>
      <c r="T15" s="315">
        <f t="shared" si="3"/>
        <v>-0.15525551324286013</v>
      </c>
      <c r="U15" s="315">
        <f t="shared" si="4"/>
        <v>-0.24275396429404766</v>
      </c>
      <c r="V15" s="315">
        <f t="shared" si="5"/>
        <v>-0.09251511203756994</v>
      </c>
      <c r="W15" s="315">
        <f t="shared" si="6"/>
        <v>-0.26897058746771374</v>
      </c>
      <c r="X15" s="315">
        <f t="shared" si="7"/>
        <v>-0.17759227336969877</v>
      </c>
      <c r="Y15" s="315">
        <f t="shared" si="8"/>
      </c>
      <c r="Z15" s="315">
        <f t="shared" si="9"/>
      </c>
      <c r="AA15" s="315">
        <f t="shared" si="10"/>
        <v>0.34022010635116373</v>
      </c>
    </row>
    <row r="16" spans="2:27" ht="12.75">
      <c r="B16" s="84">
        <v>43069</v>
      </c>
      <c r="C16" s="85"/>
      <c r="D16" s="85">
        <v>9033.61</v>
      </c>
      <c r="E16" s="85">
        <v>5353.52</v>
      </c>
      <c r="F16" s="85">
        <v>5793.726</v>
      </c>
      <c r="G16" s="85">
        <v>6942.110000000001</v>
      </c>
      <c r="H16" s="85">
        <v>5252.1</v>
      </c>
      <c r="I16" s="85">
        <v>4948.65</v>
      </c>
      <c r="J16" s="85"/>
      <c r="K16" s="85">
        <v>8613.445</v>
      </c>
      <c r="L16" s="85">
        <v>8823.53</v>
      </c>
      <c r="M16" s="85">
        <v>6506.048124999999</v>
      </c>
      <c r="N16" s="110"/>
      <c r="O16" s="204"/>
      <c r="R16" s="315">
        <f t="shared" si="1"/>
      </c>
      <c r="S16" s="315">
        <f t="shared" si="2"/>
        <v>0.3884941867072343</v>
      </c>
      <c r="T16" s="315">
        <f t="shared" si="3"/>
        <v>-0.17714718717977498</v>
      </c>
      <c r="U16" s="315">
        <f t="shared" si="4"/>
        <v>-0.10948614447883441</v>
      </c>
      <c r="V16" s="315">
        <f t="shared" si="5"/>
        <v>0.06702407769232437</v>
      </c>
      <c r="W16" s="315">
        <f t="shared" si="6"/>
        <v>-0.19273575923633351</v>
      </c>
      <c r="X16" s="315">
        <f t="shared" si="7"/>
        <v>-0.23937697586582174</v>
      </c>
      <c r="Y16" s="315">
        <f t="shared" si="8"/>
      </c>
      <c r="Z16" s="315">
        <f t="shared" si="9"/>
        <v>0.32391350855554896</v>
      </c>
      <c r="AA16" s="315">
        <f t="shared" si="10"/>
        <v>0.3562042318892318</v>
      </c>
    </row>
    <row r="17" spans="2:27" ht="12.75">
      <c r="B17" s="84">
        <v>43070</v>
      </c>
      <c r="C17" s="85"/>
      <c r="D17" s="85">
        <v>9033.61</v>
      </c>
      <c r="E17" s="85">
        <v>5725.745</v>
      </c>
      <c r="F17" s="85">
        <v>5475.3875</v>
      </c>
      <c r="G17" s="85">
        <v>6748.155</v>
      </c>
      <c r="H17" s="85">
        <v>5042.02</v>
      </c>
      <c r="I17" s="85">
        <v>4960.139999999999</v>
      </c>
      <c r="J17" s="85">
        <v>6516.205</v>
      </c>
      <c r="K17" s="85">
        <v>8403.36</v>
      </c>
      <c r="L17" s="85">
        <v>8823.53</v>
      </c>
      <c r="M17" s="85">
        <v>6363.885555555556</v>
      </c>
      <c r="N17" s="110"/>
      <c r="O17" s="204"/>
      <c r="R17" s="315">
        <f t="shared" si="1"/>
      </c>
      <c r="S17" s="315">
        <f t="shared" si="2"/>
        <v>0.4195116994386903</v>
      </c>
      <c r="T17" s="315">
        <f t="shared" si="3"/>
        <v>-0.10027530350517863</v>
      </c>
      <c r="U17" s="315">
        <f t="shared" si="4"/>
        <v>-0.13961565584407992</v>
      </c>
      <c r="V17" s="315">
        <f t="shared" si="5"/>
        <v>0.060382833897599554</v>
      </c>
      <c r="W17" s="315">
        <f t="shared" si="6"/>
        <v>-0.20771359635806</v>
      </c>
      <c r="X17" s="315">
        <f t="shared" si="7"/>
        <v>-0.2205799496708598</v>
      </c>
      <c r="Y17" s="315">
        <f t="shared" si="8"/>
        <v>0.02393497543516826</v>
      </c>
      <c r="Z17" s="315">
        <f t="shared" si="9"/>
        <v>0.3204762918252075</v>
      </c>
      <c r="AA17" s="315">
        <f t="shared" si="10"/>
        <v>0.3865004206898756</v>
      </c>
    </row>
    <row r="18" spans="2:27" ht="12.75">
      <c r="B18" s="84">
        <v>43073</v>
      </c>
      <c r="C18" s="85">
        <v>12997.2</v>
      </c>
      <c r="D18" s="85">
        <v>9033.61</v>
      </c>
      <c r="E18" s="85">
        <v>5687.5599999999995</v>
      </c>
      <c r="F18" s="85">
        <v>5441.5233333333335</v>
      </c>
      <c r="G18" s="85"/>
      <c r="H18" s="85">
        <v>5462.18</v>
      </c>
      <c r="I18" s="85">
        <v>5057.58</v>
      </c>
      <c r="J18" s="85"/>
      <c r="K18" s="85">
        <v>5672.27</v>
      </c>
      <c r="L18" s="85">
        <v>8823.53</v>
      </c>
      <c r="M18" s="85">
        <v>6606.193076923077</v>
      </c>
      <c r="N18" s="110"/>
      <c r="O18" s="204"/>
      <c r="R18" s="315">
        <f t="shared" si="1"/>
        <v>0.9674266023804472</v>
      </c>
      <c r="S18" s="315">
        <f t="shared" si="2"/>
        <v>0.3674456521043018</v>
      </c>
      <c r="T18" s="315">
        <f t="shared" si="3"/>
        <v>-0.139056347010515</v>
      </c>
      <c r="U18" s="315">
        <f t="shared" si="4"/>
        <v>-0.17629968274136543</v>
      </c>
      <c r="V18" s="315">
        <f t="shared" si="5"/>
      </c>
      <c r="W18" s="315">
        <f t="shared" si="6"/>
        <v>-0.1731728188386398</v>
      </c>
      <c r="X18" s="315">
        <f t="shared" si="7"/>
        <v>-0.23441837967659948</v>
      </c>
      <c r="Y18" s="315">
        <f t="shared" si="8"/>
      </c>
      <c r="Z18" s="315">
        <f t="shared" si="9"/>
        <v>-0.14137084188251783</v>
      </c>
      <c r="AA18" s="315">
        <f t="shared" si="10"/>
        <v>0.335645188879293</v>
      </c>
    </row>
    <row r="19" spans="2:27" ht="12.75">
      <c r="B19" s="84">
        <v>43074</v>
      </c>
      <c r="C19" s="85"/>
      <c r="D19" s="85">
        <v>9033.61</v>
      </c>
      <c r="E19" s="85">
        <v>5627.855</v>
      </c>
      <c r="F19" s="85">
        <v>6053.5325</v>
      </c>
      <c r="G19" s="85">
        <v>7341.88</v>
      </c>
      <c r="H19" s="85">
        <v>5042.02</v>
      </c>
      <c r="I19" s="85">
        <v>4607.845</v>
      </c>
      <c r="J19" s="85">
        <v>5672.265</v>
      </c>
      <c r="K19" s="85">
        <v>5672.27</v>
      </c>
      <c r="L19" s="85">
        <v>8823.53</v>
      </c>
      <c r="M19" s="85">
        <v>6100.9775</v>
      </c>
      <c r="N19" s="110"/>
      <c r="O19" s="204"/>
      <c r="R19" s="315">
        <f t="shared" si="1"/>
      </c>
      <c r="S19" s="315">
        <f t="shared" si="2"/>
        <v>0.4806823988451032</v>
      </c>
      <c r="T19" s="315">
        <f t="shared" si="3"/>
        <v>-0.0775486387222376</v>
      </c>
      <c r="U19" s="315">
        <f t="shared" si="4"/>
        <v>-0.007776622680545815</v>
      </c>
      <c r="V19" s="315">
        <f t="shared" si="5"/>
        <v>0.2033940462819278</v>
      </c>
      <c r="W19" s="315">
        <f t="shared" si="6"/>
        <v>-0.17357177599819038</v>
      </c>
      <c r="X19" s="315">
        <f t="shared" si="7"/>
        <v>-0.24473660163473798</v>
      </c>
      <c r="Y19" s="315">
        <f t="shared" si="8"/>
        <v>-0.07026947730916884</v>
      </c>
      <c r="Z19" s="315">
        <f t="shared" si="9"/>
        <v>-0.07026865776836573</v>
      </c>
      <c r="AA19" s="315">
        <f t="shared" si="10"/>
        <v>0.4462485724623637</v>
      </c>
    </row>
    <row r="20" spans="2:27" ht="12.75">
      <c r="B20" s="84">
        <v>43075</v>
      </c>
      <c r="C20" s="85">
        <v>12682.61</v>
      </c>
      <c r="D20" s="85">
        <v>9033.61</v>
      </c>
      <c r="E20" s="85">
        <v>6629.32</v>
      </c>
      <c r="F20" s="85">
        <v>6839.628</v>
      </c>
      <c r="G20" s="85">
        <v>7382.95</v>
      </c>
      <c r="H20" s="85">
        <v>6302.52</v>
      </c>
      <c r="I20" s="85">
        <v>4808.845</v>
      </c>
      <c r="J20" s="85"/>
      <c r="K20" s="85">
        <v>2941.18</v>
      </c>
      <c r="L20" s="85">
        <v>8823.53</v>
      </c>
      <c r="M20" s="85">
        <v>7307.7175</v>
      </c>
      <c r="N20" s="110"/>
      <c r="O20" s="204"/>
      <c r="R20" s="315">
        <f t="shared" si="1"/>
        <v>0.7355090696924178</v>
      </c>
      <c r="S20" s="315">
        <f t="shared" si="2"/>
        <v>0.23617394897928126</v>
      </c>
      <c r="T20" s="315">
        <f t="shared" si="3"/>
        <v>-0.09283302207563443</v>
      </c>
      <c r="U20" s="315">
        <f t="shared" si="4"/>
        <v>-0.0640541318133877</v>
      </c>
      <c r="V20" s="315">
        <f t="shared" si="5"/>
        <v>0.01029493819376571</v>
      </c>
      <c r="W20" s="315">
        <f t="shared" si="6"/>
        <v>-0.13755286790985002</v>
      </c>
      <c r="X20" s="315">
        <f t="shared" si="7"/>
        <v>-0.3419497948572861</v>
      </c>
      <c r="Y20" s="315">
        <f t="shared" si="8"/>
      </c>
      <c r="Z20" s="315">
        <f t="shared" si="9"/>
        <v>-0.5975241243247293</v>
      </c>
      <c r="AA20" s="315">
        <f t="shared" si="10"/>
        <v>0.20742625860947703</v>
      </c>
    </row>
    <row r="21" spans="2:27" ht="12.75">
      <c r="B21" s="84">
        <v>43076</v>
      </c>
      <c r="C21" s="85"/>
      <c r="D21" s="85">
        <v>9033.61</v>
      </c>
      <c r="E21" s="85">
        <v>6649.805</v>
      </c>
      <c r="F21" s="85">
        <v>6606.724999999999</v>
      </c>
      <c r="G21" s="85">
        <v>8198.4</v>
      </c>
      <c r="H21" s="85">
        <v>5882.35</v>
      </c>
      <c r="I21" s="85">
        <v>6707.995</v>
      </c>
      <c r="J21" s="85"/>
      <c r="K21" s="85">
        <v>8403.36</v>
      </c>
      <c r="L21" s="85">
        <v>8823.53</v>
      </c>
      <c r="M21" s="85">
        <v>7191.057692307692</v>
      </c>
      <c r="N21" s="110"/>
      <c r="O21" s="204"/>
      <c r="R21" s="315">
        <f t="shared" si="1"/>
      </c>
      <c r="S21" s="315">
        <f t="shared" si="2"/>
        <v>0.25622827496757467</v>
      </c>
      <c r="T21" s="315">
        <f t="shared" si="3"/>
        <v>-0.07526746627087592</v>
      </c>
      <c r="U21" s="315">
        <f t="shared" si="4"/>
        <v>-0.08125824006846118</v>
      </c>
      <c r="V21" s="315">
        <f t="shared" si="5"/>
        <v>0.14008263468249824</v>
      </c>
      <c r="W21" s="315">
        <f t="shared" si="6"/>
        <v>-0.18199098773851066</v>
      </c>
      <c r="X21" s="315">
        <f t="shared" si="7"/>
        <v>-0.06717547167288435</v>
      </c>
      <c r="Y21" s="315">
        <f t="shared" si="8"/>
      </c>
      <c r="Z21" s="315">
        <f t="shared" si="9"/>
        <v>0.16858470054956082</v>
      </c>
      <c r="AA21" s="315">
        <f t="shared" si="10"/>
        <v>0.2270142137002421</v>
      </c>
    </row>
    <row r="22" spans="2:27" ht="12.75">
      <c r="B22" s="84">
        <v>43080</v>
      </c>
      <c r="C22" s="85"/>
      <c r="D22" s="85">
        <v>8193.28</v>
      </c>
      <c r="E22" s="85">
        <v>6831.355</v>
      </c>
      <c r="F22" s="85">
        <v>7946.055</v>
      </c>
      <c r="G22" s="85"/>
      <c r="H22" s="85">
        <v>6092.435</v>
      </c>
      <c r="I22" s="85">
        <v>6932.77</v>
      </c>
      <c r="J22" s="85"/>
      <c r="K22" s="85">
        <v>8403.36</v>
      </c>
      <c r="L22" s="85"/>
      <c r="M22" s="85">
        <v>7378.291818181819</v>
      </c>
      <c r="N22" s="110"/>
      <c r="O22" s="204"/>
      <c r="R22" s="315">
        <f t="shared" si="1"/>
      </c>
      <c r="S22" s="315">
        <f t="shared" si="2"/>
        <v>0.11045756957048819</v>
      </c>
      <c r="T22" s="315">
        <f t="shared" si="3"/>
        <v>-0.07412783767023691</v>
      </c>
      <c r="U22" s="315">
        <f t="shared" si="4"/>
        <v>0.07695049149710802</v>
      </c>
      <c r="V22" s="315">
        <f t="shared" si="5"/>
      </c>
      <c r="W22" s="315">
        <f t="shared" si="6"/>
        <v>-0.17427567923149495</v>
      </c>
      <c r="X22" s="315">
        <f t="shared" si="7"/>
        <v>-0.06038278630887833</v>
      </c>
      <c r="Y22" s="315">
        <f t="shared" si="8"/>
      </c>
      <c r="Z22" s="315">
        <f t="shared" si="9"/>
        <v>0.13893028455342155</v>
      </c>
      <c r="AA22" s="315">
        <f t="shared" si="10"/>
      </c>
    </row>
    <row r="23" spans="2:27" ht="12.75">
      <c r="B23" s="84">
        <v>43081</v>
      </c>
      <c r="C23" s="85">
        <v>11344.54</v>
      </c>
      <c r="D23" s="85">
        <v>7983.19</v>
      </c>
      <c r="E23" s="85">
        <v>6819.65</v>
      </c>
      <c r="F23" s="85">
        <v>7195.928</v>
      </c>
      <c r="G23" s="85">
        <v>8403.36</v>
      </c>
      <c r="H23" s="85">
        <v>6302.52</v>
      </c>
      <c r="I23" s="85">
        <v>6554.62</v>
      </c>
      <c r="J23" s="85">
        <v>3975.44</v>
      </c>
      <c r="K23" s="85">
        <v>8403.36</v>
      </c>
      <c r="L23" s="85">
        <v>8823.53</v>
      </c>
      <c r="M23" s="85">
        <v>7514.564375</v>
      </c>
      <c r="N23" s="110"/>
      <c r="O23" s="204"/>
      <c r="R23" s="315">
        <f t="shared" si="1"/>
        <v>0.5096736728667656</v>
      </c>
      <c r="S23" s="315">
        <f t="shared" si="2"/>
        <v>0.06236231424925409</v>
      </c>
      <c r="T23" s="315">
        <f t="shared" si="3"/>
        <v>-0.09247566995525276</v>
      </c>
      <c r="U23" s="315">
        <f t="shared" si="4"/>
        <v>-0.042402507863271856</v>
      </c>
      <c r="V23" s="315">
        <f t="shared" si="5"/>
        <v>0.11827640042008432</v>
      </c>
      <c r="W23" s="315">
        <f t="shared" si="6"/>
        <v>-0.16129269968493676</v>
      </c>
      <c r="X23" s="315">
        <f t="shared" si="7"/>
        <v>-0.12774451413226465</v>
      </c>
      <c r="Y23" s="315">
        <f t="shared" si="8"/>
        <v>-0.47096866809395055</v>
      </c>
      <c r="Z23" s="315">
        <f t="shared" si="9"/>
        <v>0.11827640042008432</v>
      </c>
      <c r="AA23" s="315">
        <f t="shared" si="10"/>
        <v>0.17419048659091443</v>
      </c>
    </row>
    <row r="24" spans="2:27" ht="12.75">
      <c r="B24" s="84">
        <v>43082</v>
      </c>
      <c r="C24" s="85">
        <v>12755.1</v>
      </c>
      <c r="D24" s="85">
        <v>7983.19</v>
      </c>
      <c r="E24" s="85">
        <v>6824.549999999999</v>
      </c>
      <c r="F24" s="85">
        <v>7459.07</v>
      </c>
      <c r="G24" s="85">
        <v>7913.17</v>
      </c>
      <c r="H24" s="85">
        <v>6722.69</v>
      </c>
      <c r="I24" s="85">
        <v>6902.76</v>
      </c>
      <c r="J24" s="85"/>
      <c r="K24" s="85"/>
      <c r="L24" s="85"/>
      <c r="M24" s="85">
        <v>7688.003846153846</v>
      </c>
      <c r="N24" s="110"/>
      <c r="O24" s="204"/>
      <c r="R24" s="315">
        <f t="shared" si="1"/>
        <v>0.6590912615608433</v>
      </c>
      <c r="S24" s="315">
        <f t="shared" si="2"/>
        <v>0.038395682384293965</v>
      </c>
      <c r="T24" s="315">
        <f t="shared" si="3"/>
        <v>-0.11231183847362608</v>
      </c>
      <c r="U24" s="315">
        <f t="shared" si="4"/>
        <v>-0.029778060825031635</v>
      </c>
      <c r="V24" s="315">
        <f t="shared" si="5"/>
        <v>0.029287986628518673</v>
      </c>
      <c r="W24" s="315">
        <f t="shared" si="6"/>
        <v>-0.12556105140826296</v>
      </c>
      <c r="X24" s="315">
        <f t="shared" si="7"/>
        <v>-0.10213884668472006</v>
      </c>
      <c r="Y24" s="315">
        <f t="shared" si="8"/>
      </c>
      <c r="Z24" s="315">
        <f t="shared" si="9"/>
      </c>
      <c r="AA24" s="315">
        <f t="shared" si="10"/>
      </c>
    </row>
    <row r="25" spans="2:27" ht="12.75">
      <c r="B25" s="84">
        <v>43083</v>
      </c>
      <c r="C25" s="85">
        <v>14285.71</v>
      </c>
      <c r="D25" s="85">
        <v>7983.19</v>
      </c>
      <c r="E25" s="85">
        <v>6812.725</v>
      </c>
      <c r="F25" s="85">
        <v>6043.356666666667</v>
      </c>
      <c r="G25" s="85">
        <v>8971.82</v>
      </c>
      <c r="H25" s="85">
        <v>5882.35</v>
      </c>
      <c r="I25" s="85">
        <v>6932.77</v>
      </c>
      <c r="J25" s="85"/>
      <c r="K25" s="85">
        <v>8403.36</v>
      </c>
      <c r="L25" s="85">
        <v>9243.7</v>
      </c>
      <c r="M25" s="85">
        <v>7341.927500000001</v>
      </c>
      <c r="N25" s="110"/>
      <c r="O25" s="204"/>
      <c r="R25" s="315">
        <f t="shared" si="1"/>
        <v>0.9457710526288904</v>
      </c>
      <c r="S25" s="315">
        <f t="shared" si="2"/>
        <v>0.08734252687730829</v>
      </c>
      <c r="T25" s="315">
        <f t="shared" si="3"/>
        <v>-0.07207950500737038</v>
      </c>
      <c r="U25" s="315">
        <f t="shared" si="4"/>
        <v>-0.1768705606713406</v>
      </c>
      <c r="V25" s="315">
        <f t="shared" si="5"/>
        <v>0.22199790177715578</v>
      </c>
      <c r="W25" s="315">
        <f t="shared" si="6"/>
        <v>-0.19880031503988566</v>
      </c>
      <c r="X25" s="315">
        <f t="shared" si="7"/>
        <v>-0.05572889408128863</v>
      </c>
      <c r="Y25" s="315">
        <f t="shared" si="8"/>
      </c>
      <c r="Z25" s="315">
        <f t="shared" si="9"/>
        <v>0.14457136766877632</v>
      </c>
      <c r="AA25" s="315">
        <f t="shared" si="10"/>
        <v>0.25902904925171216</v>
      </c>
    </row>
    <row r="26" spans="2:27" ht="12.75">
      <c r="B26" s="84">
        <v>43084</v>
      </c>
      <c r="C26" s="85">
        <v>13067.45</v>
      </c>
      <c r="D26" s="85">
        <v>7983.19</v>
      </c>
      <c r="E26" s="85">
        <v>6824.11</v>
      </c>
      <c r="F26" s="85">
        <v>5882.78</v>
      </c>
      <c r="G26" s="85">
        <v>8197.75</v>
      </c>
      <c r="H26" s="85">
        <v>5882.35</v>
      </c>
      <c r="I26" s="85">
        <v>6932.77</v>
      </c>
      <c r="J26" s="85">
        <v>4403.01</v>
      </c>
      <c r="K26" s="85">
        <v>7961.08</v>
      </c>
      <c r="L26" s="85">
        <v>9243.7</v>
      </c>
      <c r="M26" s="85">
        <v>7594.510666666667</v>
      </c>
      <c r="N26" s="110"/>
      <c r="O26" s="204"/>
      <c r="R26" s="315">
        <f t="shared" si="1"/>
        <v>0.7206441038202506</v>
      </c>
      <c r="S26" s="315">
        <f t="shared" si="2"/>
        <v>0.05117898313571389</v>
      </c>
      <c r="T26" s="315">
        <f t="shared" si="3"/>
        <v>-0.10144177821068313</v>
      </c>
      <c r="U26" s="315">
        <f t="shared" si="4"/>
        <v>-0.22539051451724</v>
      </c>
      <c r="V26" s="315">
        <f t="shared" si="5"/>
        <v>0.07943096794649744</v>
      </c>
      <c r="W26" s="315">
        <f t="shared" si="6"/>
        <v>-0.2254471343600281</v>
      </c>
      <c r="X26" s="315">
        <f t="shared" si="7"/>
        <v>-0.08713407561215705</v>
      </c>
      <c r="Y26" s="315">
        <f t="shared" si="8"/>
        <v>-0.420237827918867</v>
      </c>
      <c r="Z26" s="315">
        <f t="shared" si="9"/>
        <v>0.04826766982397631</v>
      </c>
      <c r="AA26" s="315">
        <f t="shared" si="10"/>
        <v>0.21715544367747727</v>
      </c>
    </row>
    <row r="27" spans="2:27" ht="12.75">
      <c r="B27" s="84">
        <v>43087</v>
      </c>
      <c r="C27" s="85"/>
      <c r="D27" s="85">
        <v>7819.79</v>
      </c>
      <c r="E27" s="85">
        <v>6827.73</v>
      </c>
      <c r="F27" s="85">
        <v>7365.889999999999</v>
      </c>
      <c r="G27" s="85"/>
      <c r="H27" s="85">
        <v>5462.18</v>
      </c>
      <c r="I27" s="85">
        <v>6623.83</v>
      </c>
      <c r="J27" s="85"/>
      <c r="K27" s="85">
        <v>7983.19</v>
      </c>
      <c r="L27" s="85">
        <v>9243.7</v>
      </c>
      <c r="M27" s="85">
        <v>7288.582</v>
      </c>
      <c r="N27" s="110"/>
      <c r="O27" s="204"/>
      <c r="R27" s="315">
        <f t="shared" si="1"/>
      </c>
      <c r="S27" s="315">
        <f t="shared" si="2"/>
        <v>0.07288221494935498</v>
      </c>
      <c r="T27" s="315">
        <f t="shared" si="3"/>
        <v>-0.06322930852667923</v>
      </c>
      <c r="U27" s="315">
        <f t="shared" si="4"/>
        <v>0.01060672706981949</v>
      </c>
      <c r="V27" s="315">
        <f t="shared" si="5"/>
      </c>
      <c r="W27" s="315">
        <f t="shared" si="6"/>
        <v>-0.2505839956249377</v>
      </c>
      <c r="X27" s="315">
        <f t="shared" si="7"/>
        <v>-0.0912045717534632</v>
      </c>
      <c r="Y27" s="315">
        <f t="shared" si="8"/>
      </c>
      <c r="Z27" s="315">
        <f t="shared" si="9"/>
        <v>0.09530084178239323</v>
      </c>
      <c r="AA27" s="315">
        <f t="shared" si="10"/>
        <v>0.268243946490552</v>
      </c>
    </row>
    <row r="28" spans="2:27" ht="12.75">
      <c r="B28" s="84">
        <v>43088</v>
      </c>
      <c r="C28" s="85"/>
      <c r="D28" s="85">
        <v>8193.28</v>
      </c>
      <c r="E28" s="85">
        <v>6848.74</v>
      </c>
      <c r="F28" s="85">
        <v>5841.3025</v>
      </c>
      <c r="G28" s="85">
        <v>8785.33</v>
      </c>
      <c r="H28" s="85">
        <v>5252.1</v>
      </c>
      <c r="I28" s="85">
        <v>6512.61</v>
      </c>
      <c r="J28" s="85">
        <v>8193.28</v>
      </c>
      <c r="K28" s="85">
        <v>8403.36</v>
      </c>
      <c r="L28" s="85">
        <v>9243.7</v>
      </c>
      <c r="M28" s="85">
        <v>6921.317857142857</v>
      </c>
      <c r="N28" s="110"/>
      <c r="O28" s="204"/>
      <c r="R28" s="315">
        <f t="shared" si="1"/>
      </c>
      <c r="S28" s="315">
        <f t="shared" si="2"/>
        <v>0.18377455986138075</v>
      </c>
      <c r="T28" s="315">
        <f t="shared" si="3"/>
        <v>-0.010486132647116666</v>
      </c>
      <c r="U28" s="315">
        <f t="shared" si="4"/>
        <v>-0.15604186651076465</v>
      </c>
      <c r="V28" s="315">
        <f t="shared" si="5"/>
        <v>0.26931462783976423</v>
      </c>
      <c r="W28" s="315">
        <f t="shared" si="6"/>
        <v>-0.24117052439951303</v>
      </c>
      <c r="X28" s="315">
        <f t="shared" si="7"/>
        <v>-0.05905058336846465</v>
      </c>
      <c r="Y28" s="315">
        <f t="shared" si="8"/>
        <v>0.18377455986138075</v>
      </c>
      <c r="Z28" s="315">
        <f t="shared" si="9"/>
        <v>0.21412716096077913</v>
      </c>
      <c r="AA28" s="315">
        <f t="shared" si="10"/>
        <v>0.33554045498147816</v>
      </c>
    </row>
    <row r="29" spans="2:27" ht="12.75">
      <c r="B29" s="84">
        <v>43089</v>
      </c>
      <c r="C29" s="85"/>
      <c r="D29" s="85">
        <v>8193.28</v>
      </c>
      <c r="E29" s="85">
        <v>6664.915</v>
      </c>
      <c r="F29" s="85">
        <v>6675.436</v>
      </c>
      <c r="G29" s="85">
        <v>9003.605</v>
      </c>
      <c r="H29" s="85">
        <v>5252.1</v>
      </c>
      <c r="I29" s="85">
        <v>6512.61</v>
      </c>
      <c r="J29" s="85"/>
      <c r="K29" s="85">
        <v>8403.36</v>
      </c>
      <c r="L29" s="85">
        <v>9243.7</v>
      </c>
      <c r="M29" s="85">
        <v>7308.519285714286</v>
      </c>
      <c r="N29" s="110"/>
      <c r="O29" s="204"/>
      <c r="R29" s="315">
        <f t="shared" si="1"/>
      </c>
      <c r="S29" s="315">
        <f t="shared" si="2"/>
        <v>0.12105881912566431</v>
      </c>
      <c r="T29" s="315">
        <f t="shared" si="3"/>
        <v>-0.08806219981827469</v>
      </c>
      <c r="U29" s="315">
        <f t="shared" si="4"/>
        <v>-0.08662264693639822</v>
      </c>
      <c r="V29" s="315">
        <f t="shared" si="5"/>
        <v>0.23193285096736904</v>
      </c>
      <c r="W29" s="315">
        <f t="shared" si="6"/>
        <v>-0.2813729026800132</v>
      </c>
      <c r="X29" s="315">
        <f t="shared" si="7"/>
        <v>-0.10890157836348914</v>
      </c>
      <c r="Y29" s="315">
        <f t="shared" si="8"/>
      </c>
      <c r="Z29" s="315">
        <f t="shared" si="9"/>
        <v>0.1498033557119789</v>
      </c>
      <c r="AA29" s="315">
        <f t="shared" si="10"/>
        <v>0.26478423858966166</v>
      </c>
    </row>
    <row r="30" spans="2:27" ht="12.75">
      <c r="B30" s="84">
        <v>43090</v>
      </c>
      <c r="C30" s="85">
        <v>13042.720000000001</v>
      </c>
      <c r="D30" s="85">
        <v>8193.28</v>
      </c>
      <c r="E30" s="85">
        <v>6696.633333333332</v>
      </c>
      <c r="F30" s="85">
        <v>6955.5175</v>
      </c>
      <c r="G30" s="85">
        <v>7961.08</v>
      </c>
      <c r="H30" s="85">
        <v>5882.35</v>
      </c>
      <c r="I30" s="85">
        <v>6512.61</v>
      </c>
      <c r="J30" s="85"/>
      <c r="K30" s="85">
        <v>8403.36</v>
      </c>
      <c r="L30" s="85">
        <v>9243.7</v>
      </c>
      <c r="M30" s="85">
        <v>8012.919333333334</v>
      </c>
      <c r="N30" s="110"/>
      <c r="O30" s="204"/>
      <c r="R30" s="315">
        <f t="shared" si="1"/>
        <v>0.627711381761071</v>
      </c>
      <c r="S30" s="315">
        <f t="shared" si="2"/>
        <v>0.02250873360429018</v>
      </c>
      <c r="T30" s="315">
        <f t="shared" si="3"/>
        <v>-0.1642704668851862</v>
      </c>
      <c r="U30" s="315">
        <f t="shared" si="4"/>
        <v>-0.13196212133755006</v>
      </c>
      <c r="V30" s="315">
        <f t="shared" si="5"/>
        <v>-0.006469469013332667</v>
      </c>
      <c r="W30" s="315">
        <f t="shared" si="6"/>
        <v>-0.26589177360993443</v>
      </c>
      <c r="X30" s="315">
        <f t="shared" si="7"/>
        <v>-0.18723629565221311</v>
      </c>
      <c r="Y30" s="315">
        <f t="shared" si="8"/>
      </c>
      <c r="Z30" s="315">
        <f t="shared" si="9"/>
        <v>0.048726394267124745</v>
      </c>
      <c r="AA30" s="315">
        <f t="shared" si="10"/>
        <v>0.15359953288768077</v>
      </c>
    </row>
    <row r="31" spans="2:28" ht="12.75">
      <c r="B31" s="84">
        <v>43091</v>
      </c>
      <c r="C31" s="85">
        <v>12994.845000000001</v>
      </c>
      <c r="D31" s="85">
        <v>8193.28</v>
      </c>
      <c r="E31" s="85">
        <v>6824.11</v>
      </c>
      <c r="F31" s="85">
        <v>7151.22</v>
      </c>
      <c r="G31" s="85">
        <v>7647.535</v>
      </c>
      <c r="H31" s="85">
        <v>6302.52</v>
      </c>
      <c r="I31" s="85">
        <v>6738.844999999999</v>
      </c>
      <c r="J31" s="85">
        <v>7142.86</v>
      </c>
      <c r="K31" s="85">
        <v>8403.36</v>
      </c>
      <c r="L31" s="85">
        <v>9243.7</v>
      </c>
      <c r="M31" s="85">
        <v>8039.146111111111</v>
      </c>
      <c r="N31" s="110"/>
      <c r="O31" s="204"/>
      <c r="R31" s="315">
        <f t="shared" si="1"/>
        <v>0.6164459285096823</v>
      </c>
      <c r="S31" s="315">
        <f t="shared" si="2"/>
        <v>0.019172917963993348</v>
      </c>
      <c r="T31" s="315">
        <f t="shared" si="3"/>
        <v>-0.15113994624774624</v>
      </c>
      <c r="U31" s="315">
        <f t="shared" si="4"/>
        <v>-0.11045030141744598</v>
      </c>
      <c r="V31" s="315">
        <f t="shared" si="5"/>
        <v>-0.04871302321148953</v>
      </c>
      <c r="W31" s="315">
        <f t="shared" si="6"/>
        <v>-0.2160212150779142</v>
      </c>
      <c r="X31" s="315">
        <f t="shared" si="7"/>
        <v>-0.1617461721853683</v>
      </c>
      <c r="Y31" s="315">
        <f t="shared" si="8"/>
        <v>-0.1114902128563544</v>
      </c>
      <c r="Z31" s="315">
        <f t="shared" si="9"/>
        <v>0.04530504656278109</v>
      </c>
      <c r="AA31" s="315">
        <f t="shared" si="10"/>
        <v>0.14983604878434098</v>
      </c>
      <c r="AB31" s="310"/>
    </row>
    <row r="32" spans="2:27" ht="12.75">
      <c r="B32" s="84">
        <v>43095</v>
      </c>
      <c r="C32" s="85">
        <v>11297.85</v>
      </c>
      <c r="D32" s="85">
        <v>8319.33</v>
      </c>
      <c r="E32" s="85">
        <v>6875.48</v>
      </c>
      <c r="F32" s="85">
        <v>6777.45</v>
      </c>
      <c r="G32" s="85">
        <v>8864.19</v>
      </c>
      <c r="H32" s="85">
        <v>5882.35</v>
      </c>
      <c r="I32" s="85">
        <v>6470.59</v>
      </c>
      <c r="J32" s="85">
        <v>3976.94</v>
      </c>
      <c r="K32" s="85">
        <v>8403.36</v>
      </c>
      <c r="L32" s="85">
        <v>9243.7</v>
      </c>
      <c r="M32" s="85">
        <v>7372.931428571428</v>
      </c>
      <c r="N32" s="110"/>
      <c r="O32" s="204"/>
      <c r="R32" s="315">
        <f t="shared" si="1"/>
        <v>0.5323416621262488</v>
      </c>
      <c r="S32" s="315">
        <f t="shared" si="2"/>
        <v>0.12836123332994906</v>
      </c>
      <c r="T32" s="315">
        <f t="shared" si="3"/>
        <v>-0.06746996542565353</v>
      </c>
      <c r="U32" s="315">
        <f t="shared" si="4"/>
        <v>-0.08076589811534544</v>
      </c>
      <c r="V32" s="315">
        <f t="shared" si="5"/>
        <v>0.20226128316475028</v>
      </c>
      <c r="W32" s="315">
        <f t="shared" si="6"/>
        <v>-0.20216944142395765</v>
      </c>
      <c r="X32" s="315">
        <f t="shared" si="7"/>
        <v>-0.12238570741003958</v>
      </c>
      <c r="Y32" s="315">
        <f t="shared" si="8"/>
        <v>-0.4606026058253239</v>
      </c>
      <c r="Z32" s="315">
        <f t="shared" si="9"/>
        <v>0.13975832834081128</v>
      </c>
      <c r="AA32" s="315">
        <f t="shared" si="10"/>
        <v>0.2537347036999435</v>
      </c>
    </row>
    <row r="33" spans="2:27" ht="12.75">
      <c r="B33" s="84">
        <v>43096</v>
      </c>
      <c r="C33" s="85"/>
      <c r="D33" s="85">
        <v>8319.33</v>
      </c>
      <c r="E33" s="85">
        <v>6982.79</v>
      </c>
      <c r="F33" s="85">
        <v>6990.683999999999</v>
      </c>
      <c r="G33" s="85">
        <v>7973.135</v>
      </c>
      <c r="H33" s="85">
        <v>5882.35</v>
      </c>
      <c r="I33" s="85">
        <v>6512.61</v>
      </c>
      <c r="J33" s="85"/>
      <c r="K33" s="85"/>
      <c r="L33" s="85">
        <v>9243.7</v>
      </c>
      <c r="M33" s="85">
        <v>7320.0391666666665</v>
      </c>
      <c r="N33" s="110"/>
      <c r="O33" s="204"/>
      <c r="R33" s="315">
        <f t="shared" si="1"/>
      </c>
      <c r="S33" s="315">
        <f t="shared" si="2"/>
        <v>0.1365144107266275</v>
      </c>
      <c r="T33" s="315">
        <f t="shared" si="3"/>
        <v>-0.046072044013425684</v>
      </c>
      <c r="U33" s="315">
        <f t="shared" si="4"/>
        <v>-0.04499363448305782</v>
      </c>
      <c r="V33" s="315">
        <f t="shared" si="5"/>
        <v>0.08922026487335513</v>
      </c>
      <c r="W33" s="315">
        <f t="shared" si="6"/>
        <v>-0.19640457297188862</v>
      </c>
      <c r="X33" s="315">
        <f t="shared" si="7"/>
        <v>-0.11030394076898725</v>
      </c>
      <c r="Y33" s="315">
        <f t="shared" si="8"/>
      </c>
      <c r="Z33" s="315">
        <f t="shared" si="9"/>
      </c>
      <c r="AA33" s="315">
        <f t="shared" si="10"/>
        <v>0.2627937896962529</v>
      </c>
    </row>
    <row r="34" spans="2:27" ht="12.75">
      <c r="B34" s="84">
        <v>43097</v>
      </c>
      <c r="C34" s="85">
        <v>11811.535</v>
      </c>
      <c r="D34" s="85">
        <v>8319.33</v>
      </c>
      <c r="E34" s="85">
        <v>6864.703333333334</v>
      </c>
      <c r="F34" s="85">
        <v>6758.3324999999995</v>
      </c>
      <c r="G34" s="85">
        <v>8177.12</v>
      </c>
      <c r="H34" s="85">
        <v>5882.35</v>
      </c>
      <c r="I34" s="85">
        <v>6470.59</v>
      </c>
      <c r="J34" s="85"/>
      <c r="K34" s="85">
        <v>10084.03</v>
      </c>
      <c r="L34" s="85">
        <v>9243.7</v>
      </c>
      <c r="M34" s="85">
        <v>7831.87375</v>
      </c>
      <c r="N34" s="110"/>
      <c r="O34" s="204"/>
      <c r="R34" s="315">
        <f t="shared" si="1"/>
        <v>0.5081365426760104</v>
      </c>
      <c r="S34" s="315">
        <f t="shared" si="2"/>
        <v>0.062240054622943866</v>
      </c>
      <c r="T34" s="315">
        <f t="shared" si="3"/>
        <v>-0.12349157398849361</v>
      </c>
      <c r="U34" s="315">
        <f t="shared" si="4"/>
        <v>-0.13707335999894027</v>
      </c>
      <c r="V34" s="315">
        <f t="shared" si="5"/>
        <v>0.044082203189243205</v>
      </c>
      <c r="W34" s="315">
        <f t="shared" si="6"/>
        <v>-0.24892175387786344</v>
      </c>
      <c r="X34" s="315">
        <f t="shared" si="7"/>
        <v>-0.1738132908488214</v>
      </c>
      <c r="Y34" s="315">
        <f t="shared" si="8"/>
      </c>
      <c r="Z34" s="315">
        <f t="shared" si="9"/>
        <v>0.2875628900427565</v>
      </c>
      <c r="AA34" s="315">
        <f t="shared" si="10"/>
        <v>0.18026672735882662</v>
      </c>
    </row>
    <row r="35" spans="2:28" ht="12.75">
      <c r="B35" s="54">
        <v>43098</v>
      </c>
      <c r="C35" s="32"/>
      <c r="D35" s="32">
        <v>8319.33</v>
      </c>
      <c r="E35" s="32">
        <v>6933.04</v>
      </c>
      <c r="F35" s="32">
        <v>6359.0925</v>
      </c>
      <c r="G35" s="32">
        <v>7874.26</v>
      </c>
      <c r="H35" s="32">
        <v>5252.1</v>
      </c>
      <c r="I35" s="32">
        <v>6512.61</v>
      </c>
      <c r="J35" s="32">
        <v>6739.5650000000005</v>
      </c>
      <c r="K35" s="32">
        <v>9641.75</v>
      </c>
      <c r="L35" s="32">
        <v>10504.2</v>
      </c>
      <c r="M35" s="32">
        <v>7075.861999999999</v>
      </c>
      <c r="N35" s="110"/>
      <c r="O35" s="204"/>
      <c r="R35" s="315">
        <f t="shared" si="1"/>
      </c>
      <c r="S35" s="315">
        <f t="shared" si="2"/>
        <v>0.1757337833892183</v>
      </c>
      <c r="T35" s="315">
        <f t="shared" si="3"/>
        <v>-0.02018439590822987</v>
      </c>
      <c r="U35" s="315">
        <f t="shared" si="4"/>
        <v>-0.10129783480797103</v>
      </c>
      <c r="V35" s="315">
        <f t="shared" si="5"/>
        <v>0.11283402644087762</v>
      </c>
      <c r="W35" s="315">
        <f t="shared" si="6"/>
        <v>-0.25774414481232094</v>
      </c>
      <c r="X35" s="315">
        <f t="shared" si="7"/>
        <v>-0.07960189161405347</v>
      </c>
      <c r="Y35" s="315">
        <f t="shared" si="8"/>
        <v>-0.04752735426439898</v>
      </c>
      <c r="Z35" s="315">
        <f t="shared" si="9"/>
        <v>0.3626255006103852</v>
      </c>
      <c r="AA35" s="315">
        <f t="shared" si="10"/>
        <v>0.48451171037535806</v>
      </c>
      <c r="AB35" s="310"/>
    </row>
    <row r="36" spans="2:27" ht="12.75">
      <c r="B36" s="92" t="s">
        <v>179</v>
      </c>
      <c r="F36" s="55"/>
      <c r="G36" s="55"/>
      <c r="H36" s="55"/>
      <c r="I36" s="55"/>
      <c r="J36" s="55"/>
      <c r="K36" s="55"/>
      <c r="L36" s="55"/>
      <c r="R36" s="336"/>
      <c r="S36" s="336"/>
      <c r="T36" s="336"/>
      <c r="U36" s="336"/>
      <c r="V36" s="336"/>
      <c r="W36" s="336"/>
      <c r="X36" s="336"/>
      <c r="Y36" s="336"/>
      <c r="Z36" s="336"/>
      <c r="AA36" s="336"/>
    </row>
    <row r="37" spans="17:28" ht="12.75">
      <c r="Q37" s="334" t="s">
        <v>180</v>
      </c>
      <c r="R37" s="338">
        <f>+AVERAGE(C17:C35)</f>
        <v>12627.956000000002</v>
      </c>
      <c r="S37" s="338">
        <f aca="true" t="shared" si="11" ref="S37:AB37">+AVERAGE(D17:D35)</f>
        <v>8377.069473684207</v>
      </c>
      <c r="T37" s="338">
        <f t="shared" si="11"/>
        <v>6628.990350877192</v>
      </c>
      <c r="U37" s="338">
        <f t="shared" si="11"/>
        <v>6622.047947368421</v>
      </c>
      <c r="V37" s="338">
        <f t="shared" si="11"/>
        <v>8090.233749999999</v>
      </c>
      <c r="W37" s="338">
        <f t="shared" si="11"/>
        <v>5771.780789473686</v>
      </c>
      <c r="X37" s="338">
        <f t="shared" si="11"/>
        <v>6277.105263157896</v>
      </c>
      <c r="Y37" s="338">
        <f t="shared" si="11"/>
        <v>5827.445625000001</v>
      </c>
      <c r="Z37" s="338">
        <f t="shared" si="11"/>
        <v>7881.727647058823</v>
      </c>
      <c r="AA37" s="338">
        <f t="shared" si="11"/>
        <v>9169.551764705882</v>
      </c>
      <c r="AB37" s="338">
        <f t="shared" si="11"/>
        <v>7276.753708596228</v>
      </c>
    </row>
    <row r="38" spans="18:28" ht="12.75">
      <c r="R38" s="335">
        <f>+(R37-$AB$37)/$AB$37</f>
        <v>0.7353831812504872</v>
      </c>
      <c r="S38" s="335">
        <f aca="true" t="shared" si="12" ref="S38:AA38">+(S37-$AB$37)/$AB$37</f>
        <v>0.15120970272611348</v>
      </c>
      <c r="T38" s="335">
        <f t="shared" si="12"/>
        <v>-0.08901817811338247</v>
      </c>
      <c r="U38" s="335">
        <f t="shared" si="12"/>
        <v>-0.08997223039916619</v>
      </c>
      <c r="V38" s="335">
        <f t="shared" si="12"/>
        <v>0.11179161395043309</v>
      </c>
      <c r="W38" s="335">
        <f t="shared" si="12"/>
        <v>-0.20681927400465347</v>
      </c>
      <c r="X38" s="335">
        <f t="shared" si="12"/>
        <v>-0.13737560531386678</v>
      </c>
      <c r="Y38" s="335">
        <f t="shared" si="12"/>
        <v>-0.19916959424971595</v>
      </c>
      <c r="Z38" s="335">
        <f t="shared" si="12"/>
        <v>0.08313788849936246</v>
      </c>
      <c r="AA38" s="335">
        <f t="shared" si="12"/>
        <v>0.2601157235641548</v>
      </c>
      <c r="AB38" s="336"/>
    </row>
    <row r="40" spans="18:27" ht="12.75">
      <c r="R40" s="339"/>
      <c r="S40" s="339"/>
      <c r="T40" s="339"/>
      <c r="U40" s="339"/>
      <c r="V40" s="339"/>
      <c r="W40" s="339"/>
      <c r="X40" s="339"/>
      <c r="Y40" s="339"/>
      <c r="Z40" s="339"/>
      <c r="AA40" s="339"/>
    </row>
    <row r="41" spans="18:27" ht="12.75">
      <c r="R41" s="315"/>
      <c r="S41" s="315"/>
      <c r="T41" s="315"/>
      <c r="U41" s="315"/>
      <c r="V41" s="315"/>
      <c r="W41" s="315"/>
      <c r="X41" s="315"/>
      <c r="Y41" s="315"/>
      <c r="Z41" s="315"/>
      <c r="AA41" s="315"/>
    </row>
    <row r="42" spans="18:27" ht="12.75">
      <c r="R42" s="311"/>
      <c r="S42" s="311"/>
      <c r="T42" s="311"/>
      <c r="U42" s="311"/>
      <c r="V42" s="311"/>
      <c r="W42" s="311"/>
      <c r="X42" s="311"/>
      <c r="Y42" s="311"/>
      <c r="Z42" s="311"/>
      <c r="AA42" s="311"/>
    </row>
    <row r="58" ht="12.75">
      <c r="B58" s="53"/>
    </row>
  </sheetData>
  <sheetProtection/>
  <mergeCells count="3">
    <mergeCell ref="B2:M2"/>
    <mergeCell ref="B3:M3"/>
    <mergeCell ref="B4:M4"/>
  </mergeCells>
  <conditionalFormatting sqref="R38:AA38">
    <cfRule type="top10" priority="1" dxfId="42" rank="1" bottom="1"/>
    <cfRule type="top10" priority="2" dxfId="43" rank="1"/>
  </conditionalFormatting>
  <hyperlinks>
    <hyperlink ref="O2" location="Índice!A1" display="Volver al índice"/>
  </hyperlinks>
  <printOptions horizontalCentered="1"/>
  <pageMargins left="0.31496062992125984" right="0.31496062992125984" top="0.7480314960629921" bottom="0.7480314960629921" header="0.31496062992125984" footer="0.31496062992125984"/>
  <pageSetup fitToHeight="1" fitToWidth="1" horizontalDpi="600" verticalDpi="600" orientation="landscape" paperSize="122" scale="6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N45"/>
  <sheetViews>
    <sheetView zoomScale="80" zoomScaleNormal="80" zoomScalePageLayoutView="80" workbookViewId="0" topLeftCell="A1">
      <selection activeCell="A1" sqref="A1"/>
    </sheetView>
  </sheetViews>
  <sheetFormatPr defaultColWidth="10.8515625" defaultRowHeight="15"/>
  <cols>
    <col min="1" max="1" width="1.7109375" style="20" customWidth="1"/>
    <col min="2" max="2" width="38.00390625" style="20" customWidth="1"/>
    <col min="3" max="10" width="10.8515625" style="20" customWidth="1"/>
    <col min="11" max="11" width="2.421875" style="20" customWidth="1"/>
    <col min="12" max="12" width="10.8515625" style="20" customWidth="1"/>
    <col min="13" max="13" width="8.28125" style="142" customWidth="1"/>
    <col min="14" max="14" width="7.7109375" style="134" hidden="1" customWidth="1"/>
    <col min="15" max="15" width="10.8515625" style="142" customWidth="1"/>
    <col min="16" max="16384" width="10.8515625" style="20" customWidth="1"/>
  </cols>
  <sheetData>
    <row r="1" ht="6.75" customHeight="1"/>
    <row r="2" spans="2:12" ht="12.75">
      <c r="B2" s="353" t="s">
        <v>59</v>
      </c>
      <c r="C2" s="353"/>
      <c r="D2" s="353"/>
      <c r="E2" s="353"/>
      <c r="F2" s="353"/>
      <c r="G2" s="353"/>
      <c r="H2" s="353"/>
      <c r="I2" s="353"/>
      <c r="J2" s="353"/>
      <c r="K2" s="94"/>
      <c r="L2" s="44" t="s">
        <v>147</v>
      </c>
    </row>
    <row r="3" spans="2:11" ht="12.75">
      <c r="B3" s="353" t="s">
        <v>104</v>
      </c>
      <c r="C3" s="353"/>
      <c r="D3" s="353"/>
      <c r="E3" s="353"/>
      <c r="F3" s="353"/>
      <c r="G3" s="353"/>
      <c r="H3" s="353"/>
      <c r="I3" s="353"/>
      <c r="J3" s="353"/>
      <c r="K3" s="94"/>
    </row>
    <row r="4" spans="2:11" ht="12.75">
      <c r="B4" s="353" t="s">
        <v>260</v>
      </c>
      <c r="C4" s="353"/>
      <c r="D4" s="353"/>
      <c r="E4" s="353"/>
      <c r="F4" s="353"/>
      <c r="G4" s="353"/>
      <c r="H4" s="353"/>
      <c r="I4" s="353"/>
      <c r="J4" s="353"/>
      <c r="K4" s="94"/>
    </row>
    <row r="5" spans="2:11" ht="15" customHeight="1">
      <c r="B5" s="359" t="s">
        <v>46</v>
      </c>
      <c r="C5" s="362" t="s">
        <v>65</v>
      </c>
      <c r="D5" s="363"/>
      <c r="E5" s="363"/>
      <c r="F5" s="364"/>
      <c r="G5" s="362" t="s">
        <v>66</v>
      </c>
      <c r="H5" s="363"/>
      <c r="I5" s="363"/>
      <c r="J5" s="364"/>
      <c r="K5" s="94"/>
    </row>
    <row r="6" spans="2:11" ht="12.75" customHeight="1">
      <c r="B6" s="360"/>
      <c r="C6" s="362" t="s">
        <v>45</v>
      </c>
      <c r="D6" s="363"/>
      <c r="E6" s="363" t="s">
        <v>44</v>
      </c>
      <c r="F6" s="364"/>
      <c r="G6" s="362" t="s">
        <v>45</v>
      </c>
      <c r="H6" s="363"/>
      <c r="I6" s="363" t="s">
        <v>44</v>
      </c>
      <c r="J6" s="364"/>
      <c r="K6" s="94"/>
    </row>
    <row r="7" spans="2:12" ht="12.75">
      <c r="B7" s="361"/>
      <c r="C7" s="252">
        <v>2016</v>
      </c>
      <c r="D7" s="253">
        <f>+C7+1</f>
        <v>2017</v>
      </c>
      <c r="E7" s="253" t="s">
        <v>43</v>
      </c>
      <c r="F7" s="254" t="s">
        <v>42</v>
      </c>
      <c r="G7" s="255">
        <f>+C7</f>
        <v>2016</v>
      </c>
      <c r="H7" s="256">
        <f>+D7</f>
        <v>2017</v>
      </c>
      <c r="I7" s="256" t="s">
        <v>43</v>
      </c>
      <c r="J7" s="257" t="s">
        <v>42</v>
      </c>
      <c r="K7" s="132"/>
      <c r="L7" s="134"/>
    </row>
    <row r="8" spans="2:14" ht="12.75" customHeight="1">
      <c r="B8" s="276" t="s">
        <v>41</v>
      </c>
      <c r="C8" s="260">
        <v>1409</v>
      </c>
      <c r="D8" s="268">
        <v>1091</v>
      </c>
      <c r="E8" s="262">
        <f>+(D8/C19-1)*100</f>
        <v>0.8317929759704246</v>
      </c>
      <c r="F8" s="263">
        <f>(D8/C8-1)*100</f>
        <v>-22.569198012775015</v>
      </c>
      <c r="G8" s="268">
        <v>476</v>
      </c>
      <c r="H8" s="261">
        <v>394</v>
      </c>
      <c r="I8" s="262">
        <f>+(H8/G19-1)*100</f>
        <v>2.0725388601036343</v>
      </c>
      <c r="J8" s="263">
        <f>(H8/G8-1)*100</f>
        <v>-17.226890756302527</v>
      </c>
      <c r="K8" s="75"/>
      <c r="N8" s="340">
        <f>+D8/H8-1</f>
        <v>1.7690355329949239</v>
      </c>
    </row>
    <row r="9" spans="2:14" ht="12.75" customHeight="1">
      <c r="B9" s="277" t="s">
        <v>40</v>
      </c>
      <c r="C9" s="264">
        <v>1396</v>
      </c>
      <c r="D9" s="85">
        <v>1091</v>
      </c>
      <c r="E9" s="259">
        <f aca="true" t="shared" si="0" ref="E9:E14">+(D9/D8-1)*100</f>
        <v>0</v>
      </c>
      <c r="F9" s="265">
        <f>(D9/C9-1)*100</f>
        <v>-21.848137535816615</v>
      </c>
      <c r="G9" s="85">
        <v>439</v>
      </c>
      <c r="H9" s="258">
        <v>388</v>
      </c>
      <c r="I9" s="259">
        <f aca="true" t="shared" si="1" ref="I9:I14">+(H9/H8-1)*100</f>
        <v>-1.5228426395939132</v>
      </c>
      <c r="J9" s="265">
        <f>(H9/G9-1)*100</f>
        <v>-11.617312072892938</v>
      </c>
      <c r="K9" s="75"/>
      <c r="N9" s="340">
        <f>+D9/H9-1</f>
        <v>1.8118556701030926</v>
      </c>
    </row>
    <row r="10" spans="2:14" ht="12.75" customHeight="1">
      <c r="B10" s="277" t="s">
        <v>39</v>
      </c>
      <c r="C10" s="264">
        <v>1197</v>
      </c>
      <c r="D10" s="85">
        <v>1143</v>
      </c>
      <c r="E10" s="259">
        <f t="shared" si="0"/>
        <v>4.766269477543528</v>
      </c>
      <c r="F10" s="265">
        <f>(D10/C10-1)*100</f>
        <v>-4.511278195488721</v>
      </c>
      <c r="G10" s="85">
        <v>435</v>
      </c>
      <c r="H10" s="258">
        <v>393</v>
      </c>
      <c r="I10" s="259">
        <f t="shared" si="1"/>
        <v>1.2886597938144284</v>
      </c>
      <c r="J10" s="265">
        <f>(H10/G10-1)*100</f>
        <v>-9.6551724137931</v>
      </c>
      <c r="K10" s="75"/>
      <c r="N10" s="340">
        <f aca="true" t="shared" si="2" ref="N10:N19">+D10/H10-1</f>
        <v>1.9083969465648853</v>
      </c>
    </row>
    <row r="11" spans="2:14" ht="12.75">
      <c r="B11" s="277" t="s">
        <v>38</v>
      </c>
      <c r="C11" s="264">
        <v>1117</v>
      </c>
      <c r="D11" s="85">
        <v>1090</v>
      </c>
      <c r="E11" s="259">
        <f t="shared" si="0"/>
        <v>-4.636920384951882</v>
      </c>
      <c r="F11" s="265">
        <f>(D11/C11-1)*100</f>
        <v>-2.4171888988361645</v>
      </c>
      <c r="G11" s="85">
        <v>470</v>
      </c>
      <c r="H11" s="258">
        <v>388</v>
      </c>
      <c r="I11" s="259">
        <f t="shared" si="1"/>
        <v>-1.2722646310432517</v>
      </c>
      <c r="J11" s="265">
        <f>(H11/G11-1)*100</f>
        <v>-17.446808510638302</v>
      </c>
      <c r="K11" s="75"/>
      <c r="N11" s="340">
        <f t="shared" si="2"/>
        <v>1.8092783505154637</v>
      </c>
    </row>
    <row r="12" spans="2:14" ht="12.75" customHeight="1">
      <c r="B12" s="277" t="s">
        <v>37</v>
      </c>
      <c r="C12" s="264">
        <v>1090</v>
      </c>
      <c r="D12" s="85">
        <v>1068</v>
      </c>
      <c r="E12" s="259">
        <f t="shared" si="0"/>
        <v>-2.0183486238532056</v>
      </c>
      <c r="F12" s="265">
        <f>(D12/C12-1)*100</f>
        <v>-2.0183486238532056</v>
      </c>
      <c r="G12" s="85">
        <v>462</v>
      </c>
      <c r="H12" s="258">
        <v>364</v>
      </c>
      <c r="I12" s="259">
        <f t="shared" si="1"/>
        <v>-6.185567010309279</v>
      </c>
      <c r="J12" s="265">
        <f>(H12/G12-1)*100</f>
        <v>-21.212121212121215</v>
      </c>
      <c r="K12" s="75"/>
      <c r="N12" s="340">
        <f t="shared" si="2"/>
        <v>1.9340659340659339</v>
      </c>
    </row>
    <row r="13" spans="2:14" ht="12.75" customHeight="1">
      <c r="B13" s="277" t="s">
        <v>36</v>
      </c>
      <c r="C13" s="264">
        <v>1136</v>
      </c>
      <c r="D13" s="85">
        <v>973</v>
      </c>
      <c r="E13" s="259">
        <f t="shared" si="0"/>
        <v>-8.895131086142328</v>
      </c>
      <c r="F13" s="265">
        <f>(D13/C13-1)*100</f>
        <v>-14.348591549295776</v>
      </c>
      <c r="G13" s="85">
        <v>528</v>
      </c>
      <c r="H13" s="258">
        <v>382</v>
      </c>
      <c r="I13" s="259">
        <f t="shared" si="1"/>
        <v>4.94505494505495</v>
      </c>
      <c r="J13" s="265">
        <f>(H13/G13-1)*100</f>
        <v>-27.65151515151515</v>
      </c>
      <c r="K13" s="75"/>
      <c r="M13" s="221"/>
      <c r="N13" s="340">
        <f t="shared" si="2"/>
        <v>1.5471204188481678</v>
      </c>
    </row>
    <row r="14" spans="2:14" ht="12.75">
      <c r="B14" s="277" t="s">
        <v>35</v>
      </c>
      <c r="C14" s="264">
        <v>1067</v>
      </c>
      <c r="D14" s="85">
        <v>914</v>
      </c>
      <c r="E14" s="259">
        <f t="shared" si="0"/>
        <v>-6.063720452209664</v>
      </c>
      <c r="F14" s="265">
        <f>(D14/C14-1)*100</f>
        <v>-14.339268978444231</v>
      </c>
      <c r="G14" s="85">
        <v>522</v>
      </c>
      <c r="H14" s="258">
        <v>373</v>
      </c>
      <c r="I14" s="259">
        <f t="shared" si="1"/>
        <v>-2.3560209424083767</v>
      </c>
      <c r="J14" s="265">
        <f>(H14/G14-1)*100</f>
        <v>-28.54406130268199</v>
      </c>
      <c r="K14" s="75"/>
      <c r="N14" s="340">
        <f t="shared" si="2"/>
        <v>1.4504021447721178</v>
      </c>
    </row>
    <row r="15" spans="2:14" ht="13.5" customHeight="1">
      <c r="B15" s="277" t="s">
        <v>34</v>
      </c>
      <c r="C15" s="264">
        <v>1043</v>
      </c>
      <c r="D15" s="85">
        <v>914</v>
      </c>
      <c r="E15" s="259">
        <f>+(D15/D14-1)*100</f>
        <v>0</v>
      </c>
      <c r="F15" s="265">
        <f>(D15/C15-1)*100</f>
        <v>-12.368168744007669</v>
      </c>
      <c r="G15" s="85">
        <v>537</v>
      </c>
      <c r="H15" s="258">
        <v>369</v>
      </c>
      <c r="I15" s="259">
        <f>+(H15/H14-1)*100</f>
        <v>-1.072386058981234</v>
      </c>
      <c r="J15" s="265">
        <f>(H15/G15-1)*100</f>
        <v>-31.28491620111732</v>
      </c>
      <c r="K15" s="75"/>
      <c r="N15" s="340">
        <f t="shared" si="2"/>
        <v>1.4769647696476964</v>
      </c>
    </row>
    <row r="16" spans="2:14" ht="12.75">
      <c r="B16" s="277" t="s">
        <v>33</v>
      </c>
      <c r="C16" s="264">
        <v>1035</v>
      </c>
      <c r="D16" s="85">
        <v>952</v>
      </c>
      <c r="E16" s="259">
        <f>+(D16/D15-1)*100</f>
        <v>4.157549234135671</v>
      </c>
      <c r="F16" s="265">
        <f>(D16/C16-1)*100</f>
        <v>-8.019323671497581</v>
      </c>
      <c r="G16" s="85">
        <v>502</v>
      </c>
      <c r="H16" s="258">
        <v>378</v>
      </c>
      <c r="I16" s="259">
        <f>+(H16/H15-1)*100</f>
        <v>2.4390243902439046</v>
      </c>
      <c r="J16" s="265">
        <f>(H16/G16-1)*100</f>
        <v>-24.701195219123505</v>
      </c>
      <c r="K16" s="75"/>
      <c r="N16" s="340">
        <f t="shared" si="2"/>
        <v>1.5185185185185186</v>
      </c>
    </row>
    <row r="17" spans="2:14" ht="12.75" customHeight="1">
      <c r="B17" s="277" t="s">
        <v>32</v>
      </c>
      <c r="C17" s="264">
        <v>1042</v>
      </c>
      <c r="D17" s="85">
        <v>896</v>
      </c>
      <c r="E17" s="259">
        <f>+(D17/D16-1)*100</f>
        <v>-5.882352941176472</v>
      </c>
      <c r="F17" s="265">
        <f>(D17/C17-1)*100</f>
        <v>-14.011516314779271</v>
      </c>
      <c r="G17" s="85">
        <v>524</v>
      </c>
      <c r="H17" s="258">
        <v>397</v>
      </c>
      <c r="I17" s="259">
        <f>+(H17/H16-1)*100</f>
        <v>5.026455026455023</v>
      </c>
      <c r="J17" s="265">
        <f>(H17/G17-1)*100</f>
        <v>-24.236641221374043</v>
      </c>
      <c r="K17" s="75"/>
      <c r="N17" s="340">
        <f t="shared" si="2"/>
        <v>1.256926952141058</v>
      </c>
    </row>
    <row r="18" spans="2:14" ht="12.75">
      <c r="B18" s="277" t="s">
        <v>31</v>
      </c>
      <c r="C18" s="264">
        <v>1130</v>
      </c>
      <c r="D18" s="85">
        <v>957</v>
      </c>
      <c r="E18" s="259">
        <f>+(D18/D17-1)*100</f>
        <v>6.808035714285721</v>
      </c>
      <c r="F18" s="265">
        <f>(D18/C18-1)*100</f>
        <v>-15.309734513274332</v>
      </c>
      <c r="G18" s="85">
        <v>477</v>
      </c>
      <c r="H18" s="258">
        <v>440</v>
      </c>
      <c r="I18" s="259">
        <f>+(H18/H17-1)*100</f>
        <v>10.831234256926958</v>
      </c>
      <c r="J18" s="265">
        <f>(H18/G18-1)*100</f>
        <v>-7.756813417190777</v>
      </c>
      <c r="K18" s="75"/>
      <c r="N18" s="340">
        <f t="shared" si="2"/>
        <v>1.1749999999999998</v>
      </c>
    </row>
    <row r="19" spans="2:14" ht="12.75">
      <c r="B19" s="278" t="s">
        <v>30</v>
      </c>
      <c r="C19" s="266">
        <v>1082</v>
      </c>
      <c r="D19" s="269">
        <v>1018</v>
      </c>
      <c r="E19" s="259">
        <f>+(D19/D18-1)*100</f>
        <v>6.374085684430519</v>
      </c>
      <c r="F19" s="265">
        <f>(D19/C19-1)*100</f>
        <v>-5.914972273567464</v>
      </c>
      <c r="G19" s="269">
        <v>386</v>
      </c>
      <c r="H19" s="267">
        <v>516</v>
      </c>
      <c r="I19" s="259">
        <f>+(H19/H18-1)*100</f>
        <v>17.272727272727263</v>
      </c>
      <c r="J19" s="265">
        <f>(H19/G19-1)*100</f>
        <v>33.678756476683944</v>
      </c>
      <c r="K19" s="75"/>
      <c r="N19" s="340">
        <f t="shared" si="2"/>
        <v>0.9728682170542635</v>
      </c>
    </row>
    <row r="20" spans="2:11" ht="12.75">
      <c r="B20" s="279" t="s">
        <v>67</v>
      </c>
      <c r="C20" s="270">
        <f>AVERAGE(C8:C19)</f>
        <v>1145.3333333333333</v>
      </c>
      <c r="D20" s="271">
        <f>AVERAGE(D8:D19)</f>
        <v>1008.9166666666666</v>
      </c>
      <c r="E20" s="271"/>
      <c r="F20" s="272"/>
      <c r="G20" s="270">
        <f>AVERAGE(G8:G19)</f>
        <v>479.8333333333333</v>
      </c>
      <c r="H20" s="271">
        <f>AVERAGE(H8:H19)</f>
        <v>398.5</v>
      </c>
      <c r="I20" s="271"/>
      <c r="J20" s="272"/>
      <c r="K20" s="75"/>
    </row>
    <row r="21" spans="2:11" ht="12.75" customHeight="1">
      <c r="B21" s="280" t="str">
        <f>+'precio mayorista'!B21</f>
        <v>Promedio a la fecha</v>
      </c>
      <c r="C21" s="273">
        <f>AVERAGE(C8:C19)</f>
        <v>1145.3333333333333</v>
      </c>
      <c r="D21" s="274">
        <f>AVERAGE(D8:D19)</f>
        <v>1008.9166666666666</v>
      </c>
      <c r="E21" s="274"/>
      <c r="F21" s="275">
        <f>(D21/C21-1)*100</f>
        <v>-11.910651920838177</v>
      </c>
      <c r="G21" s="273">
        <f>AVERAGE(G8:G19)</f>
        <v>479.8333333333333</v>
      </c>
      <c r="H21" s="274">
        <f>AVERAGE(H8:H19)</f>
        <v>398.5</v>
      </c>
      <c r="I21" s="274"/>
      <c r="J21" s="275">
        <f>(H21/G21-1)*100</f>
        <v>-16.950329975685996</v>
      </c>
      <c r="K21" s="75"/>
    </row>
    <row r="22" spans="2:11" ht="12.75">
      <c r="B22" s="358" t="s">
        <v>177</v>
      </c>
      <c r="C22" s="358"/>
      <c r="D22" s="358"/>
      <c r="E22" s="358"/>
      <c r="F22" s="358"/>
      <c r="G22" s="358"/>
      <c r="H22" s="358"/>
      <c r="I22" s="358"/>
      <c r="J22" s="358"/>
      <c r="K22" s="95"/>
    </row>
    <row r="24" spans="3:6" ht="12.75">
      <c r="C24" s="297"/>
      <c r="D24" s="282" t="s">
        <v>65</v>
      </c>
      <c r="E24" s="282" t="s">
        <v>66</v>
      </c>
      <c r="F24" s="282" t="s">
        <v>252</v>
      </c>
    </row>
    <row r="25" spans="3:6" ht="12.75">
      <c r="C25" s="124">
        <v>42461</v>
      </c>
      <c r="D25" s="123">
        <f aca="true" t="shared" si="3" ref="D25:D33">+C11</f>
        <v>1117</v>
      </c>
      <c r="E25" s="123">
        <f aca="true" t="shared" si="4" ref="E25:E33">+G11</f>
        <v>470</v>
      </c>
      <c r="F25" s="123">
        <f>+'precio mayorista'!D11</f>
        <v>174.37</v>
      </c>
    </row>
    <row r="26" spans="3:6" ht="12.75">
      <c r="C26" s="124">
        <v>42491</v>
      </c>
      <c r="D26" s="123">
        <f t="shared" si="3"/>
        <v>1090</v>
      </c>
      <c r="E26" s="123">
        <f t="shared" si="4"/>
        <v>462</v>
      </c>
      <c r="F26" s="123">
        <f>+'precio mayorista'!D12</f>
        <v>217.98</v>
      </c>
    </row>
    <row r="27" spans="3:6" ht="12.75">
      <c r="C27" s="124">
        <v>42522</v>
      </c>
      <c r="D27" s="123">
        <f t="shared" si="3"/>
        <v>1136</v>
      </c>
      <c r="E27" s="123">
        <f t="shared" si="4"/>
        <v>528</v>
      </c>
      <c r="F27" s="123">
        <f>+'precio mayorista'!D13</f>
        <v>243.56</v>
      </c>
    </row>
    <row r="28" spans="3:6" ht="12.75">
      <c r="C28" s="124">
        <v>42552</v>
      </c>
      <c r="D28" s="123">
        <f t="shared" si="3"/>
        <v>1067</v>
      </c>
      <c r="E28" s="123">
        <f t="shared" si="4"/>
        <v>522</v>
      </c>
      <c r="F28" s="123">
        <f>+'precio mayorista'!D14</f>
        <v>245.19</v>
      </c>
    </row>
    <row r="29" spans="3:6" ht="12.75">
      <c r="C29" s="124">
        <v>42583</v>
      </c>
      <c r="D29" s="123">
        <f t="shared" si="3"/>
        <v>1043</v>
      </c>
      <c r="E29" s="123">
        <f t="shared" si="4"/>
        <v>537</v>
      </c>
      <c r="F29" s="123">
        <f>+'precio mayorista'!D15</f>
        <v>266.75</v>
      </c>
    </row>
    <row r="30" spans="3:6" ht="12.75">
      <c r="C30" s="124">
        <v>42614</v>
      </c>
      <c r="D30" s="123">
        <f t="shared" si="3"/>
        <v>1035</v>
      </c>
      <c r="E30" s="123">
        <f t="shared" si="4"/>
        <v>502</v>
      </c>
      <c r="F30" s="123">
        <f>+'precio mayorista'!D16</f>
        <v>232.53</v>
      </c>
    </row>
    <row r="31" spans="3:6" ht="12.75">
      <c r="C31" s="124">
        <v>42644</v>
      </c>
      <c r="D31" s="123">
        <f t="shared" si="3"/>
        <v>1042</v>
      </c>
      <c r="E31" s="123">
        <f t="shared" si="4"/>
        <v>524</v>
      </c>
      <c r="F31" s="123">
        <f>+'precio mayorista'!D17</f>
        <v>231.59</v>
      </c>
    </row>
    <row r="32" spans="3:6" ht="12.75">
      <c r="C32" s="124">
        <v>42675</v>
      </c>
      <c r="D32" s="123">
        <f t="shared" si="3"/>
        <v>1130</v>
      </c>
      <c r="E32" s="123">
        <f t="shared" si="4"/>
        <v>477</v>
      </c>
      <c r="F32" s="123">
        <f>+'precio mayorista'!D18</f>
        <v>210.93</v>
      </c>
    </row>
    <row r="33" spans="3:6" ht="12.75">
      <c r="C33" s="124">
        <v>42705</v>
      </c>
      <c r="D33" s="123">
        <f t="shared" si="3"/>
        <v>1082</v>
      </c>
      <c r="E33" s="123">
        <f t="shared" si="4"/>
        <v>386</v>
      </c>
      <c r="F33" s="123">
        <f>+'precio mayorista'!D19</f>
        <v>137.89</v>
      </c>
    </row>
    <row r="34" spans="3:6" ht="12.75">
      <c r="C34" s="124">
        <v>42736</v>
      </c>
      <c r="D34" s="123">
        <f aca="true" t="shared" si="5" ref="D34:D45">+D8</f>
        <v>1091</v>
      </c>
      <c r="E34" s="123">
        <f aca="true" t="shared" si="6" ref="E34:E45">+H8</f>
        <v>394</v>
      </c>
      <c r="F34" s="123">
        <f>+'precio mayorista'!E8</f>
        <v>120.48</v>
      </c>
    </row>
    <row r="35" spans="3:6" ht="12.75">
      <c r="C35" s="124">
        <v>42767</v>
      </c>
      <c r="D35" s="123">
        <f t="shared" si="5"/>
        <v>1091</v>
      </c>
      <c r="E35" s="123">
        <f t="shared" si="6"/>
        <v>388</v>
      </c>
      <c r="F35" s="123">
        <f>+'precio mayorista'!E9</f>
        <v>137.6</v>
      </c>
    </row>
    <row r="36" spans="3:6" ht="12.75">
      <c r="C36" s="124">
        <v>42795</v>
      </c>
      <c r="D36" s="123">
        <f t="shared" si="5"/>
        <v>1143</v>
      </c>
      <c r="E36" s="123">
        <f t="shared" si="6"/>
        <v>393</v>
      </c>
      <c r="F36" s="123">
        <f>+'precio mayorista'!E10</f>
        <v>143.95</v>
      </c>
    </row>
    <row r="37" spans="3:6" ht="12.75">
      <c r="C37" s="124">
        <v>42826</v>
      </c>
      <c r="D37" s="123">
        <f t="shared" si="5"/>
        <v>1090</v>
      </c>
      <c r="E37" s="123">
        <f t="shared" si="6"/>
        <v>388</v>
      </c>
      <c r="F37" s="123">
        <f>+'precio mayorista'!E11</f>
        <v>139.89</v>
      </c>
    </row>
    <row r="38" spans="3:6" ht="12.75">
      <c r="C38" s="124">
        <v>42856</v>
      </c>
      <c r="D38" s="123">
        <f t="shared" si="5"/>
        <v>1068</v>
      </c>
      <c r="E38" s="123">
        <f t="shared" si="6"/>
        <v>364</v>
      </c>
      <c r="F38" s="123">
        <f>+'precio mayorista'!E12</f>
        <v>140.08</v>
      </c>
    </row>
    <row r="39" spans="3:6" ht="12.75">
      <c r="C39" s="124">
        <v>42887</v>
      </c>
      <c r="D39" s="123">
        <f t="shared" si="5"/>
        <v>973</v>
      </c>
      <c r="E39" s="123">
        <f t="shared" si="6"/>
        <v>382</v>
      </c>
      <c r="F39" s="123">
        <f>+'precio mayorista'!E13</f>
        <v>126.73</v>
      </c>
    </row>
    <row r="40" spans="3:6" ht="12.75">
      <c r="C40" s="124">
        <v>42917</v>
      </c>
      <c r="D40" s="123">
        <f t="shared" si="5"/>
        <v>914</v>
      </c>
      <c r="E40" s="123">
        <f t="shared" si="6"/>
        <v>373</v>
      </c>
      <c r="F40" s="123">
        <f>+'precio mayorista'!E14</f>
        <v>129.41</v>
      </c>
    </row>
    <row r="41" spans="3:6" ht="12.75">
      <c r="C41" s="124">
        <v>42948</v>
      </c>
      <c r="D41" s="123">
        <f t="shared" si="5"/>
        <v>914</v>
      </c>
      <c r="E41" s="123">
        <f t="shared" si="6"/>
        <v>369</v>
      </c>
      <c r="F41" s="123">
        <f>+'precio mayorista'!E15</f>
        <v>125.43</v>
      </c>
    </row>
    <row r="42" spans="3:6" ht="12.75">
      <c r="C42" s="124">
        <v>42979</v>
      </c>
      <c r="D42" s="123">
        <f t="shared" si="5"/>
        <v>952</v>
      </c>
      <c r="E42" s="123">
        <f t="shared" si="6"/>
        <v>378</v>
      </c>
      <c r="F42" s="123">
        <f>+'precio mayorista'!E16</f>
        <v>139.24</v>
      </c>
    </row>
    <row r="43" spans="3:6" ht="12.75">
      <c r="C43" s="124">
        <v>43009</v>
      </c>
      <c r="D43" s="123">
        <f t="shared" si="5"/>
        <v>896</v>
      </c>
      <c r="E43" s="123">
        <f t="shared" si="6"/>
        <v>397</v>
      </c>
      <c r="F43" s="123">
        <f>+'precio mayorista'!E17</f>
        <v>149.24</v>
      </c>
    </row>
    <row r="44" spans="2:6" ht="12.75">
      <c r="B44" s="47"/>
      <c r="C44" s="124">
        <v>43040</v>
      </c>
      <c r="D44" s="123">
        <f t="shared" si="5"/>
        <v>957</v>
      </c>
      <c r="E44" s="123">
        <f t="shared" si="6"/>
        <v>440</v>
      </c>
      <c r="F44" s="123">
        <f>+'precio mayorista'!E18</f>
        <v>228.5</v>
      </c>
    </row>
    <row r="45" spans="3:6" ht="12.75">
      <c r="C45" s="124">
        <v>43070</v>
      </c>
      <c r="D45" s="123">
        <f t="shared" si="5"/>
        <v>1018</v>
      </c>
      <c r="E45" s="123">
        <f t="shared" si="6"/>
        <v>516</v>
      </c>
      <c r="F45" s="123">
        <f>+'precio mayorista'!E19</f>
        <v>283.95</v>
      </c>
    </row>
  </sheetData>
  <sheetProtection/>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hyperlinks>
  <printOptions horizontalCentered="1"/>
  <pageMargins left="0.7086614173228347" right="0.7086614173228347" top="1.299212598425197" bottom="0.7480314960629921" header="0.31496062992125984" footer="0.31496062992125984"/>
  <pageSetup fitToHeight="1" fitToWidth="1" horizontalDpi="600" verticalDpi="600" orientation="landscape" paperSize="122" scale="86" r:id="rId2"/>
  <headerFooter differentFirst="1">
    <oddFooter>&amp;C&amp;P</oddFooter>
  </headerFooter>
  <ignoredErrors>
    <ignoredError sqref="C20 E20:F20 D20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Alicia Canales Meza</cp:lastModifiedBy>
  <cp:lastPrinted>2017-12-12T14:20:44Z</cp:lastPrinted>
  <dcterms:created xsi:type="dcterms:W3CDTF">2011-10-13T14:46:36Z</dcterms:created>
  <dcterms:modified xsi:type="dcterms:W3CDTF">2018-01-24T12:31:25Z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